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C:\Users\55419\Desktop\Pregão nº 08-2020 - Limpeza DEREGS\"/>
    </mc:Choice>
  </mc:AlternateContent>
  <xr:revisionPtr revIDLastSave="0" documentId="13_ncr:1_{BEC06034-1F43-4A94-BD2C-DB3794045201}" xr6:coauthVersionLast="45" xr6:coauthVersionMax="45" xr10:uidLastSave="{00000000-0000-0000-0000-000000000000}"/>
  <bookViews>
    <workbookView xWindow="-120" yWindow="-120" windowWidth="29040" windowHeight="15840" tabRatio="971" firstSheet="25" activeTab="35" xr2:uid="{00000000-000D-0000-FFFF-FFFF00000000}"/>
  </bookViews>
  <sheets>
    <sheet name="Plan. Auxiliar" sheetId="27" state="hidden" r:id="rId1"/>
    <sheet name="&quot;03&quot; Laborat." sheetId="13" state="hidden" r:id="rId2"/>
    <sheet name="&quot;04&quot; Almoxarifados" sheetId="4" state="hidden" r:id="rId3"/>
    <sheet name="&quot;05&quot; Oficinas" sheetId="14" state="hidden" r:id="rId4"/>
    <sheet name="&quot;06&quot; Esp.Livres" sheetId="15" state="hidden" r:id="rId5"/>
    <sheet name="&quot;08&quot; P. Adj e Cont." sheetId="18" state="hidden" r:id="rId6"/>
    <sheet name="&quot;09&quot; Varrição" sheetId="19" state="hidden" r:id="rId7"/>
    <sheet name="&quot;10&quot; Pat. e Áreas Verdes" sheetId="21" state="hidden" r:id="rId8"/>
    <sheet name="&quot;14&quot; Fachada Envidraçada" sheetId="26" state="hidden" r:id="rId9"/>
    <sheet name="MATERIAL E EQUI" sheetId="81" state="hidden" r:id="rId10"/>
    <sheet name="RESUMO" sheetId="45" r:id="rId11"/>
    <sheet name="M²" sheetId="35" state="hidden" r:id="rId12"/>
    <sheet name="M² 2" sheetId="37" state="hidden" r:id="rId13"/>
    <sheet name="Servente CASCAVEL" sheetId="157" r:id="rId14"/>
    <sheet name="Servente LONDRINA" sheetId="164" r:id="rId15"/>
    <sheet name="Servente MARINGÁ" sheetId="165" r:id="rId16"/>
    <sheet name="Servente 6h APUCARANA" sheetId="155" r:id="rId17"/>
    <sheet name="Servente 6h CAMPO MOURÃO" sheetId="166" r:id="rId18"/>
    <sheet name="Servente 6h FOZ DO IGUAÇU" sheetId="167" r:id="rId19"/>
    <sheet name="Servente 6h FRANCISCO BELTRÃO" sheetId="168" r:id="rId20"/>
    <sheet name="Servente 6h GUARAPUAVA" sheetId="169" r:id="rId21"/>
    <sheet name="Servente 6h PARANAVAÍ" sheetId="170" r:id="rId22"/>
    <sheet name="Servente 6h PATO BRANCO" sheetId="171" r:id="rId23"/>
    <sheet name="Servente 6h PONTA GROSSA" sheetId="172" r:id="rId24"/>
    <sheet name="Servente 6h RIO NEGRO" sheetId="173" r:id="rId25"/>
    <sheet name="Servente 6h STO ANTONIO" sheetId="174" r:id="rId26"/>
    <sheet name="Servente 6h TOLEDO" sheetId="175" r:id="rId27"/>
    <sheet name="Servente 6h UMUARAMA" sheetId="176" r:id="rId28"/>
    <sheet name="Jardineiro 8h-1x mês CASCAVEL" sheetId="160" r:id="rId29"/>
    <sheet name="UNIFORMES" sheetId="122" state="hidden" r:id="rId30"/>
    <sheet name="Jardineiro 8h LONDRINA" sheetId="177" r:id="rId31"/>
    <sheet name="Jardineiro 8h MARINGÁ" sheetId="178" r:id="rId32"/>
    <sheet name="UNIFORME SERVENTES" sheetId="161" r:id="rId33"/>
    <sheet name="UNIFORME JARDINEIROS" sheetId="163" r:id="rId34"/>
    <sheet name="EQUIPAMENTOS" sheetId="162" r:id="rId35"/>
    <sheet name="MATERIAIS" sheetId="179" r:id="rId36"/>
  </sheets>
  <externalReferences>
    <externalReference r:id="rId37"/>
    <externalReference r:id="rId38"/>
  </externalReferences>
  <definedNames>
    <definedName name="A" localSheetId="30">#REF!</definedName>
    <definedName name="A" localSheetId="31">#REF!</definedName>
    <definedName name="A" localSheetId="28">#REF!</definedName>
    <definedName name="A" localSheetId="9">#REF!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13">#REF!</definedName>
    <definedName name="A" localSheetId="14">#REF!</definedName>
    <definedName name="A" localSheetId="15">#REF!</definedName>
    <definedName name="A">#REF!</definedName>
    <definedName name="Aparecida">'Plan. Auxiliar'!$D$3</definedName>
    <definedName name="Araçatuba">'Plan. Auxiliar'!$E$3</definedName>
    <definedName name="_xlnm.Print_Area" localSheetId="30">'Jardineiro 8h LONDRINA'!$A$1:$Q$108</definedName>
    <definedName name="_xlnm.Print_Area" localSheetId="31">'Jardineiro 8h MARINGÁ'!$A$1:$Q$108</definedName>
    <definedName name="_xlnm.Print_Area" localSheetId="28">'Jardineiro 8h-1x mês CASCAVEL'!$A$1:$Q$108</definedName>
    <definedName name="_xlnm.Print_Area" localSheetId="9">'MATERIAL E EQUI'!$A$1:$Q$20</definedName>
    <definedName name="_xlnm.Print_Area" localSheetId="10">RESUMO!$A$1:$G$44</definedName>
    <definedName name="_xlnm.Print_Area" localSheetId="16">'Servente 6h APUCARANA'!$A$1:$Q$108</definedName>
    <definedName name="_xlnm.Print_Area" localSheetId="17">'Servente 6h CAMPO MOURÃO'!$A$1:$Q$108</definedName>
    <definedName name="_xlnm.Print_Area" localSheetId="18">'Servente 6h FOZ DO IGUAÇU'!$A$1:$Q$108</definedName>
    <definedName name="_xlnm.Print_Area" localSheetId="19">'Servente 6h FRANCISCO BELTRÃO'!$A$1:$Q$108</definedName>
    <definedName name="_xlnm.Print_Area" localSheetId="20">'Servente 6h GUARAPUAVA'!$A$1:$Q$108</definedName>
    <definedName name="_xlnm.Print_Area" localSheetId="21">'Servente 6h PARANAVAÍ'!$A$1:$Q$108</definedName>
    <definedName name="_xlnm.Print_Area" localSheetId="22">'Servente 6h PATO BRANCO'!$A$1:$Q$108</definedName>
    <definedName name="_xlnm.Print_Area" localSheetId="23">'Servente 6h PONTA GROSSA'!$A$1:$Q$108</definedName>
    <definedName name="_xlnm.Print_Area" localSheetId="24">'Servente 6h RIO NEGRO'!$A$1:$Q$108</definedName>
    <definedName name="_xlnm.Print_Area" localSheetId="25">'Servente 6h STO ANTONIO'!$A$1:$Q$108</definedName>
    <definedName name="_xlnm.Print_Area" localSheetId="26">'Servente 6h TOLEDO'!$A$1:$Q$108</definedName>
    <definedName name="_xlnm.Print_Area" localSheetId="27">'Servente 6h UMUARAMA'!$A$1:$Q$108</definedName>
    <definedName name="_xlnm.Print_Area" localSheetId="13">'Servente CASCAVEL'!$A$1:$Q$108</definedName>
    <definedName name="_xlnm.Print_Area" localSheetId="14">'Servente LONDRINA'!$A$1:$Q$108</definedName>
    <definedName name="_xlnm.Print_Area" localSheetId="15">'Servente MARINGÁ'!$A$1:$Q$108</definedName>
    <definedName name="áreas" localSheetId="30">#REF!</definedName>
    <definedName name="áreas" localSheetId="31">#REF!</definedName>
    <definedName name="áreas" localSheetId="28">#REF!</definedName>
    <definedName name="áreas" localSheetId="9">#REF!</definedName>
    <definedName name="áreas" localSheetId="16">#REF!</definedName>
    <definedName name="áreas" localSheetId="17">#REF!</definedName>
    <definedName name="áreas" localSheetId="18">#REF!</definedName>
    <definedName name="áreas" localSheetId="19">#REF!</definedName>
    <definedName name="áreas" localSheetId="20">#REF!</definedName>
    <definedName name="áreas" localSheetId="21">#REF!</definedName>
    <definedName name="áreas" localSheetId="22">#REF!</definedName>
    <definedName name="áreas" localSheetId="23">#REF!</definedName>
    <definedName name="áreas" localSheetId="24">#REF!</definedName>
    <definedName name="áreas" localSheetId="25">#REF!</definedName>
    <definedName name="áreas" localSheetId="26">#REF!</definedName>
    <definedName name="áreas" localSheetId="27">#REF!</definedName>
    <definedName name="áreas" localSheetId="13">#REF!</definedName>
    <definedName name="áreas" localSheetId="14">#REF!</definedName>
    <definedName name="áreas" localSheetId="15">#REF!</definedName>
    <definedName name="áreas">#REF!</definedName>
    <definedName name="Arujá">'Plan. Auxiliar'!$F$3</definedName>
    <definedName name="Atibaia">'Plan. Auxiliar'!$G$3:$G$4</definedName>
    <definedName name="B" localSheetId="30">#REF!</definedName>
    <definedName name="B" localSheetId="31">#REF!</definedName>
    <definedName name="B" localSheetId="28">#REF!</definedName>
    <definedName name="B" localSheetId="9">#REF!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13">#REF!</definedName>
    <definedName name="B" localSheetId="14">#REF!</definedName>
    <definedName name="B" localSheetId="15">#REF!</definedName>
    <definedName name="B">#REF!</definedName>
    <definedName name="Barra_do_Turvo">'Plan. Auxiliar'!$I$3:$J$3</definedName>
    <definedName name="Bauru">'Plan. Auxiliar'!$I$3</definedName>
    <definedName name="C_" localSheetId="30">#REF!</definedName>
    <definedName name="C_" localSheetId="31">#REF!</definedName>
    <definedName name="C_" localSheetId="28">#REF!</definedName>
    <definedName name="C_" localSheetId="9">#REF!</definedName>
    <definedName name="C_" localSheetId="16">#REF!</definedName>
    <definedName name="C_" localSheetId="17">#REF!</definedName>
    <definedName name="C_" localSheetId="18">#REF!</definedName>
    <definedName name="C_" localSheetId="19">#REF!</definedName>
    <definedName name="C_" localSheetId="20">#REF!</definedName>
    <definedName name="C_" localSheetId="21">#REF!</definedName>
    <definedName name="C_" localSheetId="22">#REF!</definedName>
    <definedName name="C_" localSheetId="23">#REF!</definedName>
    <definedName name="C_" localSheetId="24">#REF!</definedName>
    <definedName name="C_" localSheetId="25">#REF!</definedName>
    <definedName name="C_" localSheetId="26">#REF!</definedName>
    <definedName name="C_" localSheetId="27">#REF!</definedName>
    <definedName name="C_" localSheetId="13">#REF!</definedName>
    <definedName name="C_" localSheetId="14">#REF!</definedName>
    <definedName name="C_" localSheetId="15">#REF!</definedName>
    <definedName name="C_">#REF!</definedName>
    <definedName name="Caçapava">'Plan. Auxiliar'!$J$3</definedName>
    <definedName name="Cachoeira_Paulista">'Plan. Auxiliar'!$K$3:$K$4</definedName>
    <definedName name="Cajati">'Plan. Auxiliar'!$L$3</definedName>
    <definedName name="Campinas">'Plan. Auxiliar'!$N$3</definedName>
    <definedName name="D" localSheetId="30">#REF!</definedName>
    <definedName name="D" localSheetId="31">#REF!</definedName>
    <definedName name="D" localSheetId="28">#REF!</definedName>
    <definedName name="D" localSheetId="9">#REF!</definedName>
    <definedName name="D" localSheetId="16">#REF!</definedName>
    <definedName name="D" localSheetId="17">#REF!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3">#REF!</definedName>
    <definedName name="D" localSheetId="14">#REF!</definedName>
    <definedName name="D" localSheetId="15">#REF!</definedName>
    <definedName name="D">#REF!</definedName>
    <definedName name="Del_05_Posto_Barra_do_Turvo">'Plan. Auxiliar'!$I$3:$J$3</definedName>
    <definedName name="Del_10_Marília">'Plan. Auxiliar'!$S$3</definedName>
    <definedName name="Guaiçara">'Plan. Auxiliar'!$N$3</definedName>
    <definedName name="Guarulhos">'Plan. Auxiliar'!$O$3:$O$6</definedName>
    <definedName name="Itapecerica_da_Serra">'Plan. Auxiliar'!$P$3:$P$4</definedName>
    <definedName name="Lavrinhas">'Plan. Auxiliar'!$Q$3</definedName>
    <definedName name="Marília">'Plan. Auxiliar'!$S$3:$S$4</definedName>
    <definedName name="materiaishig" localSheetId="30">#REF!</definedName>
    <definedName name="materiaishig" localSheetId="31">#REF!</definedName>
    <definedName name="materiaishig" localSheetId="28">#REF!</definedName>
    <definedName name="materiaishig" localSheetId="9">#REF!</definedName>
    <definedName name="materiaishig" localSheetId="16">#REF!</definedName>
    <definedName name="materiaishig" localSheetId="17">#REF!</definedName>
    <definedName name="materiaishig" localSheetId="18">#REF!</definedName>
    <definedName name="materiaishig" localSheetId="19">#REF!</definedName>
    <definedName name="materiaishig" localSheetId="20">#REF!</definedName>
    <definedName name="materiaishig" localSheetId="21">#REF!</definedName>
    <definedName name="materiaishig" localSheetId="22">#REF!</definedName>
    <definedName name="materiaishig" localSheetId="23">#REF!</definedName>
    <definedName name="materiaishig" localSheetId="24">#REF!</definedName>
    <definedName name="materiaishig" localSheetId="25">#REF!</definedName>
    <definedName name="materiaishig" localSheetId="26">#REF!</definedName>
    <definedName name="materiaishig" localSheetId="27">#REF!</definedName>
    <definedName name="materiaishig" localSheetId="13">#REF!</definedName>
    <definedName name="materiaishig" localSheetId="14">#REF!</definedName>
    <definedName name="materiaishig" localSheetId="15">#REF!</definedName>
    <definedName name="materiaishig">#REF!</definedName>
    <definedName name="Medida" localSheetId="30">#REF!</definedName>
    <definedName name="Medida" localSheetId="31">#REF!</definedName>
    <definedName name="Medida" localSheetId="28">#REF!</definedName>
    <definedName name="Medida" localSheetId="9">#REF!</definedName>
    <definedName name="Medida" localSheetId="16">#REF!</definedName>
    <definedName name="Medida" localSheetId="17">#REF!</definedName>
    <definedName name="Medida" localSheetId="18">#REF!</definedName>
    <definedName name="Medida" localSheetId="19">#REF!</definedName>
    <definedName name="Medida" localSheetId="20">#REF!</definedName>
    <definedName name="Medida" localSheetId="21">#REF!</definedName>
    <definedName name="Medida" localSheetId="22">#REF!</definedName>
    <definedName name="Medida" localSheetId="23">#REF!</definedName>
    <definedName name="Medida" localSheetId="24">#REF!</definedName>
    <definedName name="Medida" localSheetId="25">#REF!</definedName>
    <definedName name="Medida" localSheetId="26">#REF!</definedName>
    <definedName name="Medida" localSheetId="27">#REF!</definedName>
    <definedName name="Medida" localSheetId="13">#REF!</definedName>
    <definedName name="Medida" localSheetId="14">#REF!</definedName>
    <definedName name="Medida" localSheetId="15">#REF!</definedName>
    <definedName name="Medida">#REF!</definedName>
    <definedName name="Miracatu">'Plan. Auxiliar'!$S$3:$S$4</definedName>
    <definedName name="Municípios">'Plan. Auxiliar'!$B$3:$B$34</definedName>
    <definedName name="Osasco">'Plan. Auxiliar'!$T$3</definedName>
    <definedName name="Ourinhos">'Plan. Auxiliar'!$U$3</definedName>
    <definedName name="Piquete">'Plan. Auxiliar'!$V$3</definedName>
    <definedName name="Piracicaba">'Plan. Auxiliar'!$W$3</definedName>
    <definedName name="Presidente_Prudente">'Plan. Auxiliar'!$X$3:$X$4</definedName>
    <definedName name="Produtividade" localSheetId="30">#REF!</definedName>
    <definedName name="Produtividade" localSheetId="31">#REF!</definedName>
    <definedName name="Produtividade" localSheetId="28">#REF!</definedName>
    <definedName name="Produtividade" localSheetId="9">#REF!</definedName>
    <definedName name="Produtividade" localSheetId="16">#REF!</definedName>
    <definedName name="Produtividade" localSheetId="17">#REF!</definedName>
    <definedName name="Produtividade" localSheetId="18">#REF!</definedName>
    <definedName name="Produtividade" localSheetId="19">#REF!</definedName>
    <definedName name="Produtividade" localSheetId="20">#REF!</definedName>
    <definedName name="Produtividade" localSheetId="21">#REF!</definedName>
    <definedName name="Produtividade" localSheetId="22">#REF!</definedName>
    <definedName name="Produtividade" localSheetId="23">#REF!</definedName>
    <definedName name="Produtividade" localSheetId="24">#REF!</definedName>
    <definedName name="Produtividade" localSheetId="25">#REF!</definedName>
    <definedName name="Produtividade" localSheetId="26">#REF!</definedName>
    <definedName name="Produtividade" localSheetId="27">#REF!</definedName>
    <definedName name="Produtividade" localSheetId="13">#REF!</definedName>
    <definedName name="Produtividade" localSheetId="14">#REF!</definedName>
    <definedName name="Produtividade" localSheetId="15">#REF!</definedName>
    <definedName name="Produtividade">#REF!</definedName>
    <definedName name="PSF_Campinas">'Plan. Auxiliar'!$N$3</definedName>
    <definedName name="PSU_Marília">'Plan. Auxiliar'!$S$4</definedName>
    <definedName name="Registro">'Plan. Auxiliar'!$Y$3:$Y$4</definedName>
    <definedName name="Ribeirão_Preto">'Plan. Auxiliar'!$Z$3:$Z$4</definedName>
    <definedName name="Roseira">'Plan. Auxiliar'!$AA$3</definedName>
    <definedName name="Santos">'Plan. Auxiliar'!$AB$3:$AB$4</definedName>
    <definedName name="São_José_do_Rio_Preto">'Plan. Auxiliar'!$AC$3:$AC$5</definedName>
    <definedName name="São_José_dos_Campos">'Plan. Auxiliar'!$AD$3:$AD$4</definedName>
    <definedName name="São_Paulo">'Plan. Auxiliar'!$AE$3:$AE$6</definedName>
    <definedName name="Sorocaba">'Plan. Auxiliar'!$AF$3</definedName>
    <definedName name="Taubaté">'Plan. Auxiliar'!$AG$3:$AG$4</definedName>
    <definedName name="Ubatuba">'Plan. Auxiliar'!$AH$3:$AH$6</definedName>
    <definedName name="Vargem">'Plan. Auxiliar'!$AI$3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13" i="179" l="1"/>
  <c r="S213" i="179"/>
  <c r="R213" i="179"/>
  <c r="Q213" i="179"/>
  <c r="P213" i="179"/>
  <c r="O213" i="179"/>
  <c r="N213" i="179"/>
  <c r="M213" i="179"/>
  <c r="L213" i="179"/>
  <c r="K213" i="179"/>
  <c r="J213" i="179"/>
  <c r="I213" i="179"/>
  <c r="H213" i="179"/>
  <c r="G213" i="179"/>
  <c r="F213" i="179"/>
  <c r="T132" i="179"/>
  <c r="S132" i="179"/>
  <c r="R132" i="179"/>
  <c r="Q132" i="179"/>
  <c r="P132" i="179"/>
  <c r="O132" i="179"/>
  <c r="N132" i="179"/>
  <c r="M132" i="179"/>
  <c r="L132" i="179"/>
  <c r="K132" i="179"/>
  <c r="J132" i="179"/>
  <c r="I132" i="179"/>
  <c r="H132" i="179"/>
  <c r="G132" i="179"/>
  <c r="F132" i="179"/>
  <c r="T123" i="179"/>
  <c r="S123" i="179"/>
  <c r="R123" i="179"/>
  <c r="Q123" i="179"/>
  <c r="P123" i="179"/>
  <c r="O123" i="179"/>
  <c r="N123" i="179"/>
  <c r="M123" i="179"/>
  <c r="L123" i="179"/>
  <c r="K123" i="179"/>
  <c r="J123" i="179"/>
  <c r="I123" i="179"/>
  <c r="H123" i="179"/>
  <c r="G123" i="179"/>
  <c r="F123" i="179"/>
  <c r="T111" i="179"/>
  <c r="S111" i="179"/>
  <c r="R111" i="179"/>
  <c r="Q111" i="179"/>
  <c r="P111" i="179"/>
  <c r="O111" i="179"/>
  <c r="N111" i="179"/>
  <c r="M111" i="179"/>
  <c r="L111" i="179"/>
  <c r="K111" i="179"/>
  <c r="J111" i="179"/>
  <c r="I111" i="179"/>
  <c r="H111" i="179"/>
  <c r="G111" i="179"/>
  <c r="F111" i="179"/>
  <c r="K89" i="178" l="1"/>
  <c r="K76" i="178"/>
  <c r="K89" i="177"/>
  <c r="K76" i="177"/>
  <c r="K89" i="160"/>
  <c r="K76" i="160"/>
  <c r="L171" i="179"/>
  <c r="F76" i="179"/>
  <c r="F46" i="162"/>
  <c r="J31" i="157"/>
  <c r="T222" i="179" l="1"/>
  <c r="S222" i="179"/>
  <c r="R222" i="179"/>
  <c r="Q222" i="179"/>
  <c r="P222" i="179"/>
  <c r="O222" i="179"/>
  <c r="N222" i="179"/>
  <c r="M222" i="179"/>
  <c r="L222" i="179"/>
  <c r="K222" i="179"/>
  <c r="J222" i="179"/>
  <c r="I222" i="179"/>
  <c r="H222" i="179"/>
  <c r="G222" i="179"/>
  <c r="F222" i="179"/>
  <c r="T219" i="179"/>
  <c r="S219" i="179"/>
  <c r="R219" i="179"/>
  <c r="Q219" i="179"/>
  <c r="P219" i="179"/>
  <c r="O219" i="179"/>
  <c r="N219" i="179"/>
  <c r="M219" i="179"/>
  <c r="L219" i="179"/>
  <c r="K219" i="179"/>
  <c r="J219" i="179"/>
  <c r="I219" i="179"/>
  <c r="H219" i="179"/>
  <c r="G219" i="179"/>
  <c r="F219" i="179"/>
  <c r="T216" i="179"/>
  <c r="S216" i="179"/>
  <c r="R216" i="179"/>
  <c r="Q216" i="179"/>
  <c r="P216" i="179"/>
  <c r="O216" i="179"/>
  <c r="N216" i="179"/>
  <c r="M216" i="179"/>
  <c r="L216" i="179"/>
  <c r="K216" i="179"/>
  <c r="J216" i="179"/>
  <c r="I216" i="179"/>
  <c r="H216" i="179"/>
  <c r="G216" i="179"/>
  <c r="F216" i="179"/>
  <c r="T210" i="179"/>
  <c r="S210" i="179"/>
  <c r="R210" i="179"/>
  <c r="Q210" i="179"/>
  <c r="P210" i="179"/>
  <c r="O210" i="179"/>
  <c r="N210" i="179"/>
  <c r="M210" i="179"/>
  <c r="L210" i="179"/>
  <c r="K210" i="179"/>
  <c r="J210" i="179"/>
  <c r="I210" i="179"/>
  <c r="H210" i="179"/>
  <c r="G210" i="179"/>
  <c r="F210" i="179"/>
  <c r="T207" i="179"/>
  <c r="S207" i="179"/>
  <c r="R207" i="179"/>
  <c r="Q207" i="179"/>
  <c r="P207" i="179"/>
  <c r="O207" i="179"/>
  <c r="N207" i="179"/>
  <c r="M207" i="179"/>
  <c r="L207" i="179"/>
  <c r="K207" i="179"/>
  <c r="J207" i="179"/>
  <c r="I207" i="179"/>
  <c r="H207" i="179"/>
  <c r="G207" i="179"/>
  <c r="F207" i="179"/>
  <c r="T204" i="179"/>
  <c r="S204" i="179"/>
  <c r="R204" i="179"/>
  <c r="Q204" i="179"/>
  <c r="P204" i="179"/>
  <c r="O204" i="179"/>
  <c r="N204" i="179"/>
  <c r="M204" i="179"/>
  <c r="L204" i="179"/>
  <c r="K204" i="179"/>
  <c r="J204" i="179"/>
  <c r="I204" i="179"/>
  <c r="H204" i="179"/>
  <c r="G204" i="179"/>
  <c r="F204" i="179"/>
  <c r="T201" i="179"/>
  <c r="S201" i="179"/>
  <c r="R201" i="179"/>
  <c r="Q201" i="179"/>
  <c r="P201" i="179"/>
  <c r="O201" i="179"/>
  <c r="N201" i="179"/>
  <c r="M201" i="179"/>
  <c r="L201" i="179"/>
  <c r="K201" i="179"/>
  <c r="J201" i="179"/>
  <c r="I201" i="179"/>
  <c r="H201" i="179"/>
  <c r="G201" i="179"/>
  <c r="F201" i="179"/>
  <c r="T198" i="179"/>
  <c r="S198" i="179"/>
  <c r="R198" i="179"/>
  <c r="Q198" i="179"/>
  <c r="P198" i="179"/>
  <c r="O198" i="179"/>
  <c r="N198" i="179"/>
  <c r="M198" i="179"/>
  <c r="L198" i="179"/>
  <c r="K198" i="179"/>
  <c r="J198" i="179"/>
  <c r="I198" i="179"/>
  <c r="H198" i="179"/>
  <c r="G198" i="179"/>
  <c r="F198" i="179"/>
  <c r="T195" i="179"/>
  <c r="S195" i="179"/>
  <c r="R195" i="179"/>
  <c r="Q195" i="179"/>
  <c r="P195" i="179"/>
  <c r="O195" i="179"/>
  <c r="N195" i="179"/>
  <c r="M195" i="179"/>
  <c r="L195" i="179"/>
  <c r="K195" i="179"/>
  <c r="J195" i="179"/>
  <c r="I195" i="179"/>
  <c r="H195" i="179"/>
  <c r="G195" i="179"/>
  <c r="F195" i="179"/>
  <c r="T192" i="179"/>
  <c r="S192" i="179"/>
  <c r="R192" i="179"/>
  <c r="Q192" i="179"/>
  <c r="P192" i="179"/>
  <c r="O192" i="179"/>
  <c r="N192" i="179"/>
  <c r="M192" i="179"/>
  <c r="L192" i="179"/>
  <c r="K192" i="179"/>
  <c r="J192" i="179"/>
  <c r="I192" i="179"/>
  <c r="H192" i="179"/>
  <c r="G192" i="179"/>
  <c r="F192" i="179"/>
  <c r="T189" i="179"/>
  <c r="S189" i="179"/>
  <c r="R189" i="179"/>
  <c r="Q189" i="179"/>
  <c r="P189" i="179"/>
  <c r="O189" i="179"/>
  <c r="N189" i="179"/>
  <c r="M189" i="179"/>
  <c r="L189" i="179"/>
  <c r="K189" i="179"/>
  <c r="J189" i="179"/>
  <c r="I189" i="179"/>
  <c r="H189" i="179"/>
  <c r="G189" i="179"/>
  <c r="F189" i="179"/>
  <c r="T186" i="179"/>
  <c r="S186" i="179"/>
  <c r="R186" i="179"/>
  <c r="Q186" i="179"/>
  <c r="P186" i="179"/>
  <c r="O186" i="179"/>
  <c r="N186" i="179"/>
  <c r="M186" i="179"/>
  <c r="L186" i="179"/>
  <c r="K186" i="179"/>
  <c r="J186" i="179"/>
  <c r="I186" i="179"/>
  <c r="H186" i="179"/>
  <c r="G186" i="179"/>
  <c r="F186" i="179"/>
  <c r="T183" i="179"/>
  <c r="S183" i="179"/>
  <c r="R183" i="179"/>
  <c r="Q183" i="179"/>
  <c r="P183" i="179"/>
  <c r="O183" i="179"/>
  <c r="N183" i="179"/>
  <c r="M183" i="179"/>
  <c r="L183" i="179"/>
  <c r="K183" i="179"/>
  <c r="J183" i="179"/>
  <c r="I183" i="179"/>
  <c r="H183" i="179"/>
  <c r="G183" i="179"/>
  <c r="F183" i="179"/>
  <c r="T180" i="179"/>
  <c r="S180" i="179"/>
  <c r="R180" i="179"/>
  <c r="Q180" i="179"/>
  <c r="P180" i="179"/>
  <c r="O180" i="179"/>
  <c r="N180" i="179"/>
  <c r="M180" i="179"/>
  <c r="L180" i="179"/>
  <c r="K180" i="179"/>
  <c r="J180" i="179"/>
  <c r="I180" i="179"/>
  <c r="H180" i="179"/>
  <c r="G180" i="179"/>
  <c r="F180" i="179"/>
  <c r="T177" i="179"/>
  <c r="S177" i="179"/>
  <c r="R177" i="179"/>
  <c r="Q177" i="179"/>
  <c r="P177" i="179"/>
  <c r="O177" i="179"/>
  <c r="N177" i="179"/>
  <c r="M177" i="179"/>
  <c r="L177" i="179"/>
  <c r="K177" i="179"/>
  <c r="J177" i="179"/>
  <c r="I177" i="179"/>
  <c r="H177" i="179"/>
  <c r="G177" i="179"/>
  <c r="F177" i="179"/>
  <c r="T174" i="179"/>
  <c r="S174" i="179"/>
  <c r="R174" i="179"/>
  <c r="Q174" i="179"/>
  <c r="P174" i="179"/>
  <c r="O174" i="179"/>
  <c r="N174" i="179"/>
  <c r="M174" i="179"/>
  <c r="L174" i="179"/>
  <c r="K174" i="179"/>
  <c r="J174" i="179"/>
  <c r="I174" i="179"/>
  <c r="H174" i="179"/>
  <c r="G174" i="179"/>
  <c r="F174" i="179"/>
  <c r="T171" i="179"/>
  <c r="S171" i="179"/>
  <c r="R171" i="179"/>
  <c r="Q171" i="179"/>
  <c r="P171" i="179"/>
  <c r="O171" i="179"/>
  <c r="N171" i="179"/>
  <c r="M171" i="179"/>
  <c r="K171" i="179"/>
  <c r="J171" i="179"/>
  <c r="I171" i="179"/>
  <c r="H171" i="179"/>
  <c r="G171" i="179"/>
  <c r="F171" i="179"/>
  <c r="T168" i="179"/>
  <c r="S168" i="179"/>
  <c r="R168" i="179"/>
  <c r="Q168" i="179"/>
  <c r="P168" i="179"/>
  <c r="O168" i="179"/>
  <c r="N168" i="179"/>
  <c r="M168" i="179"/>
  <c r="L168" i="179"/>
  <c r="K168" i="179"/>
  <c r="J168" i="179"/>
  <c r="I168" i="179"/>
  <c r="H168" i="179"/>
  <c r="G168" i="179"/>
  <c r="F168" i="179"/>
  <c r="T165" i="179"/>
  <c r="S165" i="179"/>
  <c r="R165" i="179"/>
  <c r="Q165" i="179"/>
  <c r="P165" i="179"/>
  <c r="O165" i="179"/>
  <c r="N165" i="179"/>
  <c r="M165" i="179"/>
  <c r="L165" i="179"/>
  <c r="K165" i="179"/>
  <c r="J165" i="179"/>
  <c r="I165" i="179"/>
  <c r="H165" i="179"/>
  <c r="G165" i="179"/>
  <c r="F165" i="179"/>
  <c r="T162" i="179"/>
  <c r="S162" i="179"/>
  <c r="R162" i="179"/>
  <c r="Q162" i="179"/>
  <c r="P162" i="179"/>
  <c r="O162" i="179"/>
  <c r="N162" i="179"/>
  <c r="M162" i="179"/>
  <c r="L162" i="179"/>
  <c r="K162" i="179"/>
  <c r="J162" i="179"/>
  <c r="I162" i="179"/>
  <c r="H162" i="179"/>
  <c r="G162" i="179"/>
  <c r="F162" i="179"/>
  <c r="T159" i="179"/>
  <c r="S159" i="179"/>
  <c r="R159" i="179"/>
  <c r="Q159" i="179"/>
  <c r="P159" i="179"/>
  <c r="O159" i="179"/>
  <c r="N159" i="179"/>
  <c r="M159" i="179"/>
  <c r="L159" i="179"/>
  <c r="K159" i="179"/>
  <c r="J159" i="179"/>
  <c r="I159" i="179"/>
  <c r="H159" i="179"/>
  <c r="G159" i="179"/>
  <c r="F159" i="179"/>
  <c r="T156" i="179"/>
  <c r="S156" i="179"/>
  <c r="R156" i="179"/>
  <c r="Q156" i="179"/>
  <c r="P156" i="179"/>
  <c r="O156" i="179"/>
  <c r="N156" i="179"/>
  <c r="M156" i="179"/>
  <c r="L156" i="179"/>
  <c r="K156" i="179"/>
  <c r="J156" i="179"/>
  <c r="I156" i="179"/>
  <c r="H156" i="179"/>
  <c r="G156" i="179"/>
  <c r="F156" i="179"/>
  <c r="T153" i="179"/>
  <c r="S153" i="179"/>
  <c r="R153" i="179"/>
  <c r="Q153" i="179"/>
  <c r="P153" i="179"/>
  <c r="O153" i="179"/>
  <c r="N153" i="179"/>
  <c r="M153" i="179"/>
  <c r="L153" i="179"/>
  <c r="K153" i="179"/>
  <c r="J153" i="179"/>
  <c r="I153" i="179"/>
  <c r="H153" i="179"/>
  <c r="G153" i="179"/>
  <c r="F153" i="179"/>
  <c r="T150" i="179"/>
  <c r="S150" i="179"/>
  <c r="R150" i="179"/>
  <c r="Q150" i="179"/>
  <c r="P150" i="179"/>
  <c r="O150" i="179"/>
  <c r="N150" i="179"/>
  <c r="M150" i="179"/>
  <c r="L150" i="179"/>
  <c r="K150" i="179"/>
  <c r="J150" i="179"/>
  <c r="I150" i="179"/>
  <c r="H150" i="179"/>
  <c r="G150" i="179"/>
  <c r="F150" i="179"/>
  <c r="T147" i="179"/>
  <c r="S147" i="179"/>
  <c r="R147" i="179"/>
  <c r="Q147" i="179"/>
  <c r="P147" i="179"/>
  <c r="O147" i="179"/>
  <c r="N147" i="179"/>
  <c r="M147" i="179"/>
  <c r="L147" i="179"/>
  <c r="K147" i="179"/>
  <c r="J147" i="179"/>
  <c r="I147" i="179"/>
  <c r="H147" i="179"/>
  <c r="G147" i="179"/>
  <c r="F147" i="179"/>
  <c r="T144" i="179"/>
  <c r="S144" i="179"/>
  <c r="R144" i="179"/>
  <c r="Q144" i="179"/>
  <c r="P144" i="179"/>
  <c r="O144" i="179"/>
  <c r="N144" i="179"/>
  <c r="M144" i="179"/>
  <c r="L144" i="179"/>
  <c r="K144" i="179"/>
  <c r="J144" i="179"/>
  <c r="I144" i="179"/>
  <c r="H144" i="179"/>
  <c r="G144" i="179"/>
  <c r="F144" i="179"/>
  <c r="T141" i="179"/>
  <c r="S141" i="179"/>
  <c r="R141" i="179"/>
  <c r="Q141" i="179"/>
  <c r="P141" i="179"/>
  <c r="O141" i="179"/>
  <c r="N141" i="179"/>
  <c r="M141" i="179"/>
  <c r="L141" i="179"/>
  <c r="K141" i="179"/>
  <c r="J141" i="179"/>
  <c r="I141" i="179"/>
  <c r="H141" i="179"/>
  <c r="G141" i="179"/>
  <c r="F141" i="179"/>
  <c r="T138" i="179"/>
  <c r="S138" i="179"/>
  <c r="R138" i="179"/>
  <c r="Q138" i="179"/>
  <c r="P138" i="179"/>
  <c r="O138" i="179"/>
  <c r="N138" i="179"/>
  <c r="M138" i="179"/>
  <c r="L138" i="179"/>
  <c r="K138" i="179"/>
  <c r="J138" i="179"/>
  <c r="I138" i="179"/>
  <c r="H138" i="179"/>
  <c r="G138" i="179"/>
  <c r="F138" i="179"/>
  <c r="T135" i="179"/>
  <c r="S135" i="179"/>
  <c r="R135" i="179"/>
  <c r="Q135" i="179"/>
  <c r="P135" i="179"/>
  <c r="O135" i="179"/>
  <c r="N135" i="179"/>
  <c r="M135" i="179"/>
  <c r="L135" i="179"/>
  <c r="K135" i="179"/>
  <c r="J135" i="179"/>
  <c r="I135" i="179"/>
  <c r="H135" i="179"/>
  <c r="G135" i="179"/>
  <c r="F135" i="179"/>
  <c r="T129" i="179"/>
  <c r="S129" i="179"/>
  <c r="R129" i="179"/>
  <c r="Q129" i="179"/>
  <c r="P129" i="179"/>
  <c r="O129" i="179"/>
  <c r="N129" i="179"/>
  <c r="M129" i="179"/>
  <c r="L129" i="179"/>
  <c r="K129" i="179"/>
  <c r="J129" i="179"/>
  <c r="I129" i="179"/>
  <c r="H129" i="179"/>
  <c r="G129" i="179"/>
  <c r="F129" i="179"/>
  <c r="T126" i="179"/>
  <c r="S126" i="179"/>
  <c r="R126" i="179"/>
  <c r="Q126" i="179"/>
  <c r="P126" i="179"/>
  <c r="O126" i="179"/>
  <c r="N126" i="179"/>
  <c r="M126" i="179"/>
  <c r="L126" i="179"/>
  <c r="K126" i="179"/>
  <c r="J126" i="179"/>
  <c r="I126" i="179"/>
  <c r="H126" i="179"/>
  <c r="G126" i="179"/>
  <c r="F126" i="179"/>
  <c r="T120" i="179"/>
  <c r="S120" i="179"/>
  <c r="R120" i="179"/>
  <c r="Q120" i="179"/>
  <c r="P120" i="179"/>
  <c r="O120" i="179"/>
  <c r="N120" i="179"/>
  <c r="M120" i="179"/>
  <c r="L120" i="179"/>
  <c r="K120" i="179"/>
  <c r="J120" i="179"/>
  <c r="I120" i="179"/>
  <c r="H120" i="179"/>
  <c r="G120" i="179"/>
  <c r="F120" i="179"/>
  <c r="T117" i="179"/>
  <c r="S117" i="179"/>
  <c r="R117" i="179"/>
  <c r="Q117" i="179"/>
  <c r="P117" i="179"/>
  <c r="O117" i="179"/>
  <c r="N117" i="179"/>
  <c r="M117" i="179"/>
  <c r="L117" i="179"/>
  <c r="K117" i="179"/>
  <c r="J117" i="179"/>
  <c r="I117" i="179"/>
  <c r="H117" i="179"/>
  <c r="G117" i="179"/>
  <c r="F117" i="179"/>
  <c r="T114" i="179"/>
  <c r="S114" i="179"/>
  <c r="R114" i="179"/>
  <c r="Q114" i="179"/>
  <c r="P114" i="179"/>
  <c r="O114" i="179"/>
  <c r="N114" i="179"/>
  <c r="M114" i="179"/>
  <c r="L114" i="179"/>
  <c r="K114" i="179"/>
  <c r="J114" i="179"/>
  <c r="I114" i="179"/>
  <c r="H114" i="179"/>
  <c r="G114" i="179"/>
  <c r="F114" i="179"/>
  <c r="T107" i="179"/>
  <c r="S107" i="179"/>
  <c r="R107" i="179"/>
  <c r="Q107" i="179"/>
  <c r="P107" i="179"/>
  <c r="O107" i="179"/>
  <c r="N107" i="179"/>
  <c r="M107" i="179"/>
  <c r="L107" i="179"/>
  <c r="K107" i="179"/>
  <c r="J107" i="179"/>
  <c r="I107" i="179"/>
  <c r="H107" i="179"/>
  <c r="G107" i="179"/>
  <c r="F107" i="179"/>
  <c r="T103" i="179"/>
  <c r="S103" i="179"/>
  <c r="R103" i="179"/>
  <c r="Q103" i="179"/>
  <c r="P103" i="179"/>
  <c r="O103" i="179"/>
  <c r="N103" i="179"/>
  <c r="M103" i="179"/>
  <c r="L103" i="179"/>
  <c r="K103" i="179"/>
  <c r="J103" i="179"/>
  <c r="I103" i="179"/>
  <c r="H103" i="179"/>
  <c r="G103" i="179"/>
  <c r="F103" i="179"/>
  <c r="T100" i="179"/>
  <c r="S100" i="179"/>
  <c r="R100" i="179"/>
  <c r="Q100" i="179"/>
  <c r="P100" i="179"/>
  <c r="O100" i="179"/>
  <c r="N100" i="179"/>
  <c r="M100" i="179"/>
  <c r="L100" i="179"/>
  <c r="K100" i="179"/>
  <c r="J100" i="179"/>
  <c r="I100" i="179"/>
  <c r="H100" i="179"/>
  <c r="G100" i="179"/>
  <c r="F100" i="179"/>
  <c r="T97" i="179"/>
  <c r="S97" i="179"/>
  <c r="R97" i="179"/>
  <c r="Q97" i="179"/>
  <c r="P97" i="179"/>
  <c r="O97" i="179"/>
  <c r="N97" i="179"/>
  <c r="M97" i="179"/>
  <c r="L97" i="179"/>
  <c r="K97" i="179"/>
  <c r="J97" i="179"/>
  <c r="I97" i="179"/>
  <c r="H97" i="179"/>
  <c r="G97" i="179"/>
  <c r="F97" i="179"/>
  <c r="T94" i="179"/>
  <c r="S94" i="179"/>
  <c r="R94" i="179"/>
  <c r="Q94" i="179"/>
  <c r="P94" i="179"/>
  <c r="O94" i="179"/>
  <c r="N94" i="179"/>
  <c r="M94" i="179"/>
  <c r="L94" i="179"/>
  <c r="K94" i="179"/>
  <c r="J94" i="179"/>
  <c r="I94" i="179"/>
  <c r="H94" i="179"/>
  <c r="G94" i="179"/>
  <c r="F94" i="179"/>
  <c r="T91" i="179"/>
  <c r="S91" i="179"/>
  <c r="R91" i="179"/>
  <c r="Q91" i="179"/>
  <c r="P91" i="179"/>
  <c r="O91" i="179"/>
  <c r="N91" i="179"/>
  <c r="M91" i="179"/>
  <c r="L91" i="179"/>
  <c r="K91" i="179"/>
  <c r="J91" i="179"/>
  <c r="I91" i="179"/>
  <c r="H91" i="179"/>
  <c r="G91" i="179"/>
  <c r="F91" i="179"/>
  <c r="T88" i="179"/>
  <c r="S88" i="179"/>
  <c r="R88" i="179"/>
  <c r="Q88" i="179"/>
  <c r="P88" i="179"/>
  <c r="O88" i="179"/>
  <c r="N88" i="179"/>
  <c r="M88" i="179"/>
  <c r="L88" i="179"/>
  <c r="K88" i="179"/>
  <c r="J88" i="179"/>
  <c r="I88" i="179"/>
  <c r="H88" i="179"/>
  <c r="G88" i="179"/>
  <c r="F88" i="179"/>
  <c r="T85" i="179"/>
  <c r="S85" i="179"/>
  <c r="R85" i="179"/>
  <c r="Q85" i="179"/>
  <c r="P85" i="179"/>
  <c r="O85" i="179"/>
  <c r="N85" i="179"/>
  <c r="M85" i="179"/>
  <c r="L85" i="179"/>
  <c r="K85" i="179"/>
  <c r="J85" i="179"/>
  <c r="I85" i="179"/>
  <c r="H85" i="179"/>
  <c r="G85" i="179"/>
  <c r="F85" i="179"/>
  <c r="T82" i="179"/>
  <c r="S82" i="179"/>
  <c r="R82" i="179"/>
  <c r="Q82" i="179"/>
  <c r="P82" i="179"/>
  <c r="O82" i="179"/>
  <c r="N82" i="179"/>
  <c r="M82" i="179"/>
  <c r="L82" i="179"/>
  <c r="K82" i="179"/>
  <c r="J82" i="179"/>
  <c r="I82" i="179"/>
  <c r="H82" i="179"/>
  <c r="G82" i="179"/>
  <c r="F82" i="179"/>
  <c r="T79" i="179"/>
  <c r="S79" i="179"/>
  <c r="R79" i="179"/>
  <c r="Q79" i="179"/>
  <c r="P79" i="179"/>
  <c r="O79" i="179"/>
  <c r="N79" i="179"/>
  <c r="M79" i="179"/>
  <c r="L79" i="179"/>
  <c r="K79" i="179"/>
  <c r="J79" i="179"/>
  <c r="I79" i="179"/>
  <c r="H79" i="179"/>
  <c r="G79" i="179"/>
  <c r="F79" i="179"/>
  <c r="T76" i="179"/>
  <c r="S76" i="179"/>
  <c r="R76" i="179"/>
  <c r="Q76" i="179"/>
  <c r="P76" i="179"/>
  <c r="O76" i="179"/>
  <c r="N76" i="179"/>
  <c r="M76" i="179"/>
  <c r="L76" i="179"/>
  <c r="K76" i="179"/>
  <c r="J76" i="179"/>
  <c r="I76" i="179"/>
  <c r="H76" i="179"/>
  <c r="G76" i="179"/>
  <c r="T73" i="179"/>
  <c r="S73" i="179"/>
  <c r="R73" i="179"/>
  <c r="Q73" i="179"/>
  <c r="P73" i="179"/>
  <c r="O73" i="179"/>
  <c r="N73" i="179"/>
  <c r="M73" i="179"/>
  <c r="L73" i="179"/>
  <c r="K73" i="179"/>
  <c r="J73" i="179"/>
  <c r="I73" i="179"/>
  <c r="H73" i="179"/>
  <c r="G73" i="179"/>
  <c r="F73" i="179"/>
  <c r="T70" i="179"/>
  <c r="S70" i="179"/>
  <c r="R70" i="179"/>
  <c r="Q70" i="179"/>
  <c r="P70" i="179"/>
  <c r="O70" i="179"/>
  <c r="N70" i="179"/>
  <c r="M70" i="179"/>
  <c r="L70" i="179"/>
  <c r="K70" i="179"/>
  <c r="J70" i="179"/>
  <c r="I70" i="179"/>
  <c r="H70" i="179"/>
  <c r="G70" i="179"/>
  <c r="F70" i="179"/>
  <c r="T67" i="179"/>
  <c r="S67" i="179"/>
  <c r="R67" i="179"/>
  <c r="Q67" i="179"/>
  <c r="P67" i="179"/>
  <c r="O67" i="179"/>
  <c r="N67" i="179"/>
  <c r="M67" i="179"/>
  <c r="L67" i="179"/>
  <c r="K67" i="179"/>
  <c r="J67" i="179"/>
  <c r="I67" i="179"/>
  <c r="H67" i="179"/>
  <c r="G67" i="179"/>
  <c r="F67" i="179"/>
  <c r="T64" i="179"/>
  <c r="S64" i="179"/>
  <c r="R64" i="179"/>
  <c r="Q64" i="179"/>
  <c r="P64" i="179"/>
  <c r="O64" i="179"/>
  <c r="N64" i="179"/>
  <c r="M64" i="179"/>
  <c r="L64" i="179"/>
  <c r="K64" i="179"/>
  <c r="J64" i="179"/>
  <c r="I64" i="179"/>
  <c r="H64" i="179"/>
  <c r="G64" i="179"/>
  <c r="F64" i="179"/>
  <c r="T61" i="179"/>
  <c r="S61" i="179"/>
  <c r="R61" i="179"/>
  <c r="Q61" i="179"/>
  <c r="P61" i="179"/>
  <c r="O61" i="179"/>
  <c r="N61" i="179"/>
  <c r="M61" i="179"/>
  <c r="L61" i="179"/>
  <c r="K61" i="179"/>
  <c r="J61" i="179"/>
  <c r="I61" i="179"/>
  <c r="H61" i="179"/>
  <c r="G61" i="179"/>
  <c r="F61" i="179"/>
  <c r="T58" i="179"/>
  <c r="S58" i="179"/>
  <c r="R58" i="179"/>
  <c r="Q58" i="179"/>
  <c r="P58" i="179"/>
  <c r="O58" i="179"/>
  <c r="N58" i="179"/>
  <c r="M58" i="179"/>
  <c r="L58" i="179"/>
  <c r="K58" i="179"/>
  <c r="J58" i="179"/>
  <c r="I58" i="179"/>
  <c r="H58" i="179"/>
  <c r="G58" i="179"/>
  <c r="F58" i="179"/>
  <c r="T55" i="179"/>
  <c r="S55" i="179"/>
  <c r="R55" i="179"/>
  <c r="Q55" i="179"/>
  <c r="P55" i="179"/>
  <c r="O55" i="179"/>
  <c r="N55" i="179"/>
  <c r="M55" i="179"/>
  <c r="L55" i="179"/>
  <c r="K55" i="179"/>
  <c r="J55" i="179"/>
  <c r="I55" i="179"/>
  <c r="H55" i="179"/>
  <c r="G55" i="179"/>
  <c r="F55" i="179"/>
  <c r="T52" i="179"/>
  <c r="S52" i="179"/>
  <c r="R52" i="179"/>
  <c r="Q52" i="179"/>
  <c r="P52" i="179"/>
  <c r="O52" i="179"/>
  <c r="N52" i="179"/>
  <c r="M52" i="179"/>
  <c r="L52" i="179"/>
  <c r="K52" i="179"/>
  <c r="J52" i="179"/>
  <c r="I52" i="179"/>
  <c r="H52" i="179"/>
  <c r="G52" i="179"/>
  <c r="F52" i="179"/>
  <c r="T49" i="179"/>
  <c r="S49" i="179"/>
  <c r="R49" i="179"/>
  <c r="Q49" i="179"/>
  <c r="P49" i="179"/>
  <c r="O49" i="179"/>
  <c r="N49" i="179"/>
  <c r="M49" i="179"/>
  <c r="L49" i="179"/>
  <c r="K49" i="179"/>
  <c r="J49" i="179"/>
  <c r="I49" i="179"/>
  <c r="H49" i="179"/>
  <c r="G49" i="179"/>
  <c r="F49" i="179"/>
  <c r="T46" i="179"/>
  <c r="S46" i="179"/>
  <c r="R46" i="179"/>
  <c r="Q46" i="179"/>
  <c r="P46" i="179"/>
  <c r="O46" i="179"/>
  <c r="N46" i="179"/>
  <c r="M46" i="179"/>
  <c r="L46" i="179"/>
  <c r="K46" i="179"/>
  <c r="J46" i="179"/>
  <c r="I46" i="179"/>
  <c r="H46" i="179"/>
  <c r="G46" i="179"/>
  <c r="F46" i="179"/>
  <c r="T43" i="179"/>
  <c r="S43" i="179"/>
  <c r="R43" i="179"/>
  <c r="Q43" i="179"/>
  <c r="P43" i="179"/>
  <c r="O43" i="179"/>
  <c r="N43" i="179"/>
  <c r="M43" i="179"/>
  <c r="L43" i="179"/>
  <c r="K43" i="179"/>
  <c r="J43" i="179"/>
  <c r="I43" i="179"/>
  <c r="H43" i="179"/>
  <c r="G43" i="179"/>
  <c r="F43" i="179"/>
  <c r="T40" i="179"/>
  <c r="S40" i="179"/>
  <c r="R40" i="179"/>
  <c r="Q40" i="179"/>
  <c r="P40" i="179"/>
  <c r="O40" i="179"/>
  <c r="N40" i="179"/>
  <c r="M40" i="179"/>
  <c r="L40" i="179"/>
  <c r="K40" i="179"/>
  <c r="J40" i="179"/>
  <c r="I40" i="179"/>
  <c r="H40" i="179"/>
  <c r="G40" i="179"/>
  <c r="F40" i="179"/>
  <c r="T37" i="179"/>
  <c r="S37" i="179"/>
  <c r="R37" i="179"/>
  <c r="Q37" i="179"/>
  <c r="P37" i="179"/>
  <c r="O37" i="179"/>
  <c r="N37" i="179"/>
  <c r="M37" i="179"/>
  <c r="L37" i="179"/>
  <c r="K37" i="179"/>
  <c r="J37" i="179"/>
  <c r="I37" i="179"/>
  <c r="H37" i="179"/>
  <c r="G37" i="179"/>
  <c r="F37" i="179"/>
  <c r="T34" i="179"/>
  <c r="S34" i="179"/>
  <c r="R34" i="179"/>
  <c r="Q34" i="179"/>
  <c r="P34" i="179"/>
  <c r="O34" i="179"/>
  <c r="N34" i="179"/>
  <c r="M34" i="179"/>
  <c r="L34" i="179"/>
  <c r="K34" i="179"/>
  <c r="J34" i="179"/>
  <c r="I34" i="179"/>
  <c r="H34" i="179"/>
  <c r="G34" i="179"/>
  <c r="F34" i="179"/>
  <c r="T31" i="179"/>
  <c r="S31" i="179"/>
  <c r="R31" i="179"/>
  <c r="Q31" i="179"/>
  <c r="P31" i="179"/>
  <c r="O31" i="179"/>
  <c r="N31" i="179"/>
  <c r="M31" i="179"/>
  <c r="L31" i="179"/>
  <c r="K31" i="179"/>
  <c r="J31" i="179"/>
  <c r="I31" i="179"/>
  <c r="H31" i="179"/>
  <c r="G31" i="179"/>
  <c r="F31" i="179"/>
  <c r="T28" i="179"/>
  <c r="S28" i="179"/>
  <c r="R28" i="179"/>
  <c r="Q28" i="179"/>
  <c r="P28" i="179"/>
  <c r="O28" i="179"/>
  <c r="N28" i="179"/>
  <c r="M28" i="179"/>
  <c r="L28" i="179"/>
  <c r="K28" i="179"/>
  <c r="J28" i="179"/>
  <c r="I28" i="179"/>
  <c r="H28" i="179"/>
  <c r="G28" i="179"/>
  <c r="F28" i="179"/>
  <c r="T25" i="179"/>
  <c r="S25" i="179"/>
  <c r="R25" i="179"/>
  <c r="Q25" i="179"/>
  <c r="P25" i="179"/>
  <c r="O25" i="179"/>
  <c r="N25" i="179"/>
  <c r="M25" i="179"/>
  <c r="L25" i="179"/>
  <c r="K25" i="179"/>
  <c r="J25" i="179"/>
  <c r="I25" i="179"/>
  <c r="H25" i="179"/>
  <c r="G25" i="179"/>
  <c r="F25" i="179"/>
  <c r="T22" i="179"/>
  <c r="S22" i="179"/>
  <c r="R22" i="179"/>
  <c r="Q22" i="179"/>
  <c r="P22" i="179"/>
  <c r="O22" i="179"/>
  <c r="N22" i="179"/>
  <c r="M22" i="179"/>
  <c r="L22" i="179"/>
  <c r="K22" i="179"/>
  <c r="J22" i="179"/>
  <c r="I22" i="179"/>
  <c r="H22" i="179"/>
  <c r="G22" i="179"/>
  <c r="F22" i="179"/>
  <c r="T19" i="179"/>
  <c r="S19" i="179"/>
  <c r="R19" i="179"/>
  <c r="Q19" i="179"/>
  <c r="P19" i="179"/>
  <c r="O19" i="179"/>
  <c r="N19" i="179"/>
  <c r="M19" i="179"/>
  <c r="L19" i="179"/>
  <c r="K19" i="179"/>
  <c r="J19" i="179"/>
  <c r="I19" i="179"/>
  <c r="H19" i="179"/>
  <c r="G19" i="179"/>
  <c r="F19" i="179"/>
  <c r="T16" i="179"/>
  <c r="S16" i="179"/>
  <c r="R16" i="179"/>
  <c r="Q16" i="179"/>
  <c r="P16" i="179"/>
  <c r="O16" i="179"/>
  <c r="N16" i="179"/>
  <c r="M16" i="179"/>
  <c r="L16" i="179"/>
  <c r="K16" i="179"/>
  <c r="J16" i="179"/>
  <c r="I16" i="179"/>
  <c r="H16" i="179"/>
  <c r="G16" i="179"/>
  <c r="F16" i="179"/>
  <c r="T13" i="179"/>
  <c r="S13" i="179"/>
  <c r="R13" i="179"/>
  <c r="Q13" i="179"/>
  <c r="P13" i="179"/>
  <c r="O13" i="179"/>
  <c r="N13" i="179"/>
  <c r="M13" i="179"/>
  <c r="L13" i="179"/>
  <c r="K13" i="179"/>
  <c r="J13" i="179"/>
  <c r="I13" i="179"/>
  <c r="H13" i="179"/>
  <c r="G13" i="179"/>
  <c r="F13" i="179"/>
  <c r="T10" i="179"/>
  <c r="S10" i="179"/>
  <c r="R10" i="179"/>
  <c r="Q10" i="179"/>
  <c r="P10" i="179"/>
  <c r="O10" i="179"/>
  <c r="N10" i="179"/>
  <c r="M10" i="179"/>
  <c r="L10" i="179"/>
  <c r="K10" i="179"/>
  <c r="J10" i="179"/>
  <c r="I10" i="179"/>
  <c r="H10" i="179"/>
  <c r="G10" i="179"/>
  <c r="F10" i="179"/>
  <c r="T7" i="179"/>
  <c r="S7" i="179"/>
  <c r="R7" i="179"/>
  <c r="Q7" i="179"/>
  <c r="P7" i="179"/>
  <c r="O7" i="179"/>
  <c r="N7" i="179"/>
  <c r="M7" i="179"/>
  <c r="L7" i="179"/>
  <c r="K7" i="179"/>
  <c r="J7" i="179"/>
  <c r="I7" i="179"/>
  <c r="H7" i="179"/>
  <c r="G7" i="179"/>
  <c r="F7" i="179"/>
  <c r="T4" i="179"/>
  <c r="S4" i="179"/>
  <c r="R4" i="179"/>
  <c r="Q4" i="179"/>
  <c r="P4" i="179"/>
  <c r="O4" i="179"/>
  <c r="N4" i="179"/>
  <c r="M4" i="179"/>
  <c r="L4" i="179"/>
  <c r="K4" i="179"/>
  <c r="J4" i="179"/>
  <c r="I4" i="179"/>
  <c r="H4" i="179"/>
  <c r="G4" i="179"/>
  <c r="F4" i="179"/>
  <c r="P223" i="179" l="1"/>
  <c r="P224" i="179" s="1"/>
  <c r="K73" i="172" s="1"/>
  <c r="T223" i="179"/>
  <c r="T224" i="179" s="1"/>
  <c r="K73" i="176" s="1"/>
  <c r="F223" i="179"/>
  <c r="F224" i="179" s="1"/>
  <c r="K73" i="155" s="1"/>
  <c r="L223" i="179"/>
  <c r="L224" i="179" s="1"/>
  <c r="K73" i="164" s="1"/>
  <c r="G223" i="179"/>
  <c r="G224" i="179" s="1"/>
  <c r="K73" i="166" s="1"/>
  <c r="N223" i="179"/>
  <c r="N224" i="179" s="1"/>
  <c r="K73" i="170" s="1"/>
  <c r="H223" i="179"/>
  <c r="H224" i="179" s="1"/>
  <c r="K73" i="157" s="1"/>
  <c r="S223" i="179"/>
  <c r="S224" i="179" s="1"/>
  <c r="K73" i="175" s="1"/>
  <c r="Q223" i="179"/>
  <c r="Q224" i="179" s="1"/>
  <c r="K73" i="173" s="1"/>
  <c r="O223" i="179"/>
  <c r="O224" i="179" s="1"/>
  <c r="K73" i="171" s="1"/>
  <c r="M223" i="179"/>
  <c r="M224" i="179" s="1"/>
  <c r="K73" i="165" s="1"/>
  <c r="K223" i="179"/>
  <c r="K224" i="179" s="1"/>
  <c r="K73" i="169" s="1"/>
  <c r="J223" i="179"/>
  <c r="J224" i="179" s="1"/>
  <c r="K73" i="168" s="1"/>
  <c r="I223" i="179"/>
  <c r="I224" i="179" s="1"/>
  <c r="K73" i="167" s="1"/>
  <c r="R223" i="179"/>
  <c r="R224" i="179" s="1"/>
  <c r="K73" i="174" s="1"/>
  <c r="K104" i="178" l="1"/>
  <c r="K103" i="178"/>
  <c r="B94" i="178"/>
  <c r="B93" i="178"/>
  <c r="B92" i="178"/>
  <c r="B91" i="178"/>
  <c r="B90" i="178"/>
  <c r="H81" i="178"/>
  <c r="K105" i="178" s="1"/>
  <c r="J58" i="178"/>
  <c r="J57" i="178"/>
  <c r="J56" i="178"/>
  <c r="J55" i="178"/>
  <c r="J54" i="178"/>
  <c r="J50" i="178"/>
  <c r="J48" i="178"/>
  <c r="J46" i="178"/>
  <c r="J47" i="178" s="1"/>
  <c r="K32" i="178"/>
  <c r="K31" i="178"/>
  <c r="K30" i="178"/>
  <c r="J26" i="178"/>
  <c r="K8" i="178"/>
  <c r="K10" i="178" s="1"/>
  <c r="K11" i="178" s="1"/>
  <c r="K104" i="177"/>
  <c r="K103" i="177"/>
  <c r="B94" i="177"/>
  <c r="B93" i="177"/>
  <c r="B92" i="177"/>
  <c r="B91" i="177"/>
  <c r="B90" i="177"/>
  <c r="H81" i="177"/>
  <c r="K105" i="177" s="1"/>
  <c r="J58" i="177"/>
  <c r="J57" i="177"/>
  <c r="J56" i="177"/>
  <c r="J55" i="177"/>
  <c r="J54" i="177"/>
  <c r="J15" i="177" s="1"/>
  <c r="J50" i="177"/>
  <c r="J48" i="177"/>
  <c r="J47" i="177"/>
  <c r="J46" i="177"/>
  <c r="K32" i="177"/>
  <c r="K31" i="177"/>
  <c r="K30" i="177"/>
  <c r="J26" i="177"/>
  <c r="K8" i="177"/>
  <c r="K10" i="177" s="1"/>
  <c r="K11" i="177" s="1"/>
  <c r="K104" i="176"/>
  <c r="K103" i="176"/>
  <c r="B94" i="176"/>
  <c r="B93" i="176"/>
  <c r="B92" i="176"/>
  <c r="B91" i="176"/>
  <c r="B90" i="176"/>
  <c r="K89" i="176"/>
  <c r="H81" i="176"/>
  <c r="K105" i="176" s="1"/>
  <c r="K76" i="176"/>
  <c r="J58" i="176"/>
  <c r="J57" i="176"/>
  <c r="J56" i="176"/>
  <c r="J55" i="176"/>
  <c r="J54" i="176"/>
  <c r="J50" i="176"/>
  <c r="J48" i="176"/>
  <c r="J46" i="176"/>
  <c r="J47" i="176" s="1"/>
  <c r="K32" i="176"/>
  <c r="K31" i="176"/>
  <c r="K30" i="176"/>
  <c r="J26" i="176"/>
  <c r="K8" i="176"/>
  <c r="K10" i="176" s="1"/>
  <c r="K11" i="176" s="1"/>
  <c r="K104" i="175"/>
  <c r="K103" i="175"/>
  <c r="B94" i="175"/>
  <c r="B93" i="175"/>
  <c r="B92" i="175"/>
  <c r="B91" i="175"/>
  <c r="B90" i="175"/>
  <c r="K89" i="175"/>
  <c r="H81" i="175"/>
  <c r="K105" i="175" s="1"/>
  <c r="K76" i="175"/>
  <c r="J58" i="175"/>
  <c r="J57" i="175"/>
  <c r="J56" i="175"/>
  <c r="J55" i="175"/>
  <c r="J54" i="175"/>
  <c r="J50" i="175"/>
  <c r="J48" i="175"/>
  <c r="J46" i="175"/>
  <c r="J47" i="175" s="1"/>
  <c r="K32" i="175"/>
  <c r="K31" i="175"/>
  <c r="K30" i="175"/>
  <c r="J26" i="175"/>
  <c r="J15" i="175"/>
  <c r="K8" i="175"/>
  <c r="K10" i="175" s="1"/>
  <c r="K11" i="175" s="1"/>
  <c r="K104" i="174"/>
  <c r="K103" i="174"/>
  <c r="B94" i="174"/>
  <c r="B93" i="174"/>
  <c r="B92" i="174"/>
  <c r="B91" i="174"/>
  <c r="B90" i="174"/>
  <c r="K89" i="174"/>
  <c r="H81" i="174"/>
  <c r="K105" i="174" s="1"/>
  <c r="K76" i="174"/>
  <c r="J58" i="174"/>
  <c r="J57" i="174"/>
  <c r="J56" i="174"/>
  <c r="J55" i="174"/>
  <c r="J54" i="174"/>
  <c r="J50" i="174"/>
  <c r="J48" i="174"/>
  <c r="J46" i="174"/>
  <c r="J47" i="174" s="1"/>
  <c r="K32" i="174"/>
  <c r="K31" i="174"/>
  <c r="K30" i="174"/>
  <c r="J26" i="174"/>
  <c r="K8" i="174"/>
  <c r="K10" i="174" s="1"/>
  <c r="K11" i="174" s="1"/>
  <c r="K104" i="173"/>
  <c r="K103" i="173"/>
  <c r="B94" i="173"/>
  <c r="B93" i="173"/>
  <c r="B92" i="173"/>
  <c r="B91" i="173"/>
  <c r="B90" i="173"/>
  <c r="K89" i="173"/>
  <c r="H81" i="173"/>
  <c r="K105" i="173" s="1"/>
  <c r="K76" i="173"/>
  <c r="J58" i="173"/>
  <c r="J57" i="173"/>
  <c r="J56" i="173"/>
  <c r="J55" i="173"/>
  <c r="J54" i="173"/>
  <c r="J50" i="173"/>
  <c r="J48" i="173"/>
  <c r="J46" i="173"/>
  <c r="J47" i="173" s="1"/>
  <c r="K32" i="173"/>
  <c r="K31" i="173"/>
  <c r="K30" i="173"/>
  <c r="J26" i="173"/>
  <c r="J15" i="173"/>
  <c r="K8" i="173"/>
  <c r="K10" i="173" s="1"/>
  <c r="K11" i="173" s="1"/>
  <c r="K104" i="172"/>
  <c r="K103" i="172"/>
  <c r="B94" i="172"/>
  <c r="B93" i="172"/>
  <c r="B92" i="172"/>
  <c r="B91" i="172"/>
  <c r="B90" i="172"/>
  <c r="K89" i="172"/>
  <c r="H81" i="172"/>
  <c r="K105" i="172" s="1"/>
  <c r="K76" i="172"/>
  <c r="J58" i="172"/>
  <c r="J57" i="172"/>
  <c r="J56" i="172"/>
  <c r="J55" i="172"/>
  <c r="J54" i="172"/>
  <c r="J50" i="172"/>
  <c r="J48" i="172"/>
  <c r="J46" i="172"/>
  <c r="J47" i="172" s="1"/>
  <c r="K32" i="172"/>
  <c r="K31" i="172"/>
  <c r="K30" i="172"/>
  <c r="J26" i="172"/>
  <c r="K8" i="172"/>
  <c r="K33" i="172" s="1"/>
  <c r="K104" i="171"/>
  <c r="K103" i="171"/>
  <c r="B94" i="171"/>
  <c r="B93" i="171"/>
  <c r="B92" i="171"/>
  <c r="B91" i="171"/>
  <c r="B90" i="171"/>
  <c r="K89" i="171"/>
  <c r="H81" i="171"/>
  <c r="K105" i="171" s="1"/>
  <c r="K76" i="171"/>
  <c r="J58" i="171"/>
  <c r="J57" i="171"/>
  <c r="J56" i="171"/>
  <c r="J55" i="171"/>
  <c r="J54" i="171"/>
  <c r="J50" i="171"/>
  <c r="J48" i="171"/>
  <c r="J46" i="171"/>
  <c r="J47" i="171" s="1"/>
  <c r="K32" i="171"/>
  <c r="K31" i="171"/>
  <c r="K30" i="171"/>
  <c r="J26" i="171"/>
  <c r="J15" i="171"/>
  <c r="K8" i="171"/>
  <c r="K10" i="171" s="1"/>
  <c r="K11" i="171" s="1"/>
  <c r="K104" i="170"/>
  <c r="K103" i="170"/>
  <c r="B94" i="170"/>
  <c r="B93" i="170"/>
  <c r="B92" i="170"/>
  <c r="B91" i="170"/>
  <c r="B90" i="170"/>
  <c r="K89" i="170"/>
  <c r="H81" i="170"/>
  <c r="K105" i="170" s="1"/>
  <c r="K76" i="170"/>
  <c r="J58" i="170"/>
  <c r="J57" i="170"/>
  <c r="J56" i="170"/>
  <c r="J55" i="170"/>
  <c r="J54" i="170"/>
  <c r="J50" i="170"/>
  <c r="J48" i="170"/>
  <c r="J46" i="170"/>
  <c r="J47" i="170" s="1"/>
  <c r="K32" i="170"/>
  <c r="K31" i="170"/>
  <c r="K30" i="170"/>
  <c r="J26" i="170"/>
  <c r="K8" i="170"/>
  <c r="K10" i="170" s="1"/>
  <c r="K11" i="170" s="1"/>
  <c r="K104" i="169"/>
  <c r="K103" i="169"/>
  <c r="B94" i="169"/>
  <c r="B93" i="169"/>
  <c r="B92" i="169"/>
  <c r="B91" i="169"/>
  <c r="B90" i="169"/>
  <c r="K89" i="169"/>
  <c r="H81" i="169"/>
  <c r="K105" i="169" s="1"/>
  <c r="K76" i="169"/>
  <c r="J58" i="169"/>
  <c r="J57" i="169"/>
  <c r="J56" i="169"/>
  <c r="J55" i="169"/>
  <c r="J54" i="169"/>
  <c r="J50" i="169"/>
  <c r="J48" i="169"/>
  <c r="J46" i="169"/>
  <c r="J47" i="169" s="1"/>
  <c r="K32" i="169"/>
  <c r="K31" i="169"/>
  <c r="K30" i="169"/>
  <c r="J26" i="169"/>
  <c r="J15" i="169"/>
  <c r="J16" i="169" s="1"/>
  <c r="K10" i="169"/>
  <c r="K11" i="169" s="1"/>
  <c r="K8" i="169"/>
  <c r="K33" i="169" s="1"/>
  <c r="K104" i="168"/>
  <c r="K103" i="168"/>
  <c r="B94" i="168"/>
  <c r="B93" i="168"/>
  <c r="B92" i="168"/>
  <c r="B91" i="168"/>
  <c r="B90" i="168"/>
  <c r="K89" i="168"/>
  <c r="H81" i="168"/>
  <c r="K105" i="168" s="1"/>
  <c r="K76" i="168"/>
  <c r="J58" i="168"/>
  <c r="J57" i="168"/>
  <c r="J56" i="168"/>
  <c r="J55" i="168"/>
  <c r="J54" i="168"/>
  <c r="J50" i="168"/>
  <c r="J48" i="168"/>
  <c r="J46" i="168"/>
  <c r="J47" i="168" s="1"/>
  <c r="K32" i="168"/>
  <c r="K31" i="168"/>
  <c r="K30" i="168"/>
  <c r="J26" i="168"/>
  <c r="K8" i="168"/>
  <c r="K10" i="168" s="1"/>
  <c r="K11" i="168" s="1"/>
  <c r="K104" i="167"/>
  <c r="K103" i="167"/>
  <c r="B94" i="167"/>
  <c r="B93" i="167"/>
  <c r="B92" i="167"/>
  <c r="B91" i="167"/>
  <c r="B90" i="167"/>
  <c r="K89" i="167"/>
  <c r="H81" i="167"/>
  <c r="K105" i="167" s="1"/>
  <c r="K76" i="167"/>
  <c r="J58" i="167"/>
  <c r="J57" i="167"/>
  <c r="J56" i="167"/>
  <c r="J55" i="167"/>
  <c r="J54" i="167"/>
  <c r="J15" i="167" s="1"/>
  <c r="J16" i="167" s="1"/>
  <c r="J50" i="167"/>
  <c r="J48" i="167"/>
  <c r="J46" i="167"/>
  <c r="J47" i="167" s="1"/>
  <c r="K32" i="167"/>
  <c r="K31" i="167"/>
  <c r="K30" i="167"/>
  <c r="J26" i="167"/>
  <c r="K8" i="167"/>
  <c r="K33" i="167" s="1"/>
  <c r="K104" i="166"/>
  <c r="K103" i="166"/>
  <c r="B94" i="166"/>
  <c r="B93" i="166"/>
  <c r="B92" i="166"/>
  <c r="B91" i="166"/>
  <c r="B90" i="166"/>
  <c r="K89" i="166"/>
  <c r="H81" i="166"/>
  <c r="K105" i="166" s="1"/>
  <c r="K76" i="166"/>
  <c r="J58" i="166"/>
  <c r="J57" i="166"/>
  <c r="J56" i="166"/>
  <c r="J55" i="166"/>
  <c r="J54" i="166"/>
  <c r="J15" i="166" s="1"/>
  <c r="J16" i="166" s="1"/>
  <c r="J50" i="166"/>
  <c r="J48" i="166"/>
  <c r="J46" i="166"/>
  <c r="J47" i="166" s="1"/>
  <c r="K32" i="166"/>
  <c r="K31" i="166"/>
  <c r="K30" i="166"/>
  <c r="J26" i="166"/>
  <c r="K8" i="166"/>
  <c r="K33" i="166" s="1"/>
  <c r="K104" i="165"/>
  <c r="K103" i="165"/>
  <c r="B94" i="165"/>
  <c r="B93" i="165"/>
  <c r="B92" i="165"/>
  <c r="B91" i="165"/>
  <c r="B90" i="165"/>
  <c r="K89" i="165"/>
  <c r="H81" i="165"/>
  <c r="K105" i="165" s="1"/>
  <c r="K76" i="165"/>
  <c r="J58" i="165"/>
  <c r="J57" i="165"/>
  <c r="J56" i="165"/>
  <c r="J55" i="165"/>
  <c r="J54" i="165"/>
  <c r="J50" i="165"/>
  <c r="J48" i="165"/>
  <c r="J46" i="165"/>
  <c r="J47" i="165" s="1"/>
  <c r="K32" i="165"/>
  <c r="K31" i="165"/>
  <c r="K30" i="165"/>
  <c r="J26" i="165"/>
  <c r="J15" i="165"/>
  <c r="K8" i="165"/>
  <c r="K10" i="165" s="1"/>
  <c r="K11" i="165" s="1"/>
  <c r="K104" i="164"/>
  <c r="K103" i="164"/>
  <c r="B94" i="164"/>
  <c r="B93" i="164"/>
  <c r="B92" i="164"/>
  <c r="B91" i="164"/>
  <c r="B90" i="164"/>
  <c r="K89" i="164"/>
  <c r="H81" i="164"/>
  <c r="K105" i="164" s="1"/>
  <c r="K76" i="164"/>
  <c r="J58" i="164"/>
  <c r="J57" i="164"/>
  <c r="J56" i="164"/>
  <c r="J55" i="164"/>
  <c r="J54" i="164"/>
  <c r="J15" i="164" s="1"/>
  <c r="J16" i="164" s="1"/>
  <c r="J50" i="164"/>
  <c r="J48" i="164"/>
  <c r="J46" i="164"/>
  <c r="J47" i="164" s="1"/>
  <c r="K32" i="164"/>
  <c r="K31" i="164"/>
  <c r="K30" i="164"/>
  <c r="J26" i="164"/>
  <c r="K8" i="164"/>
  <c r="K10" i="164" s="1"/>
  <c r="K11" i="164" s="1"/>
  <c r="F11" i="163"/>
  <c r="F12" i="163"/>
  <c r="F13" i="163"/>
  <c r="F14" i="163"/>
  <c r="F15" i="163"/>
  <c r="F16" i="163"/>
  <c r="F10" i="163"/>
  <c r="F4" i="163"/>
  <c r="F5" i="163"/>
  <c r="F6" i="163"/>
  <c r="F7" i="163"/>
  <c r="F3" i="163"/>
  <c r="F14" i="161"/>
  <c r="F11" i="161"/>
  <c r="F12" i="161"/>
  <c r="F13" i="161"/>
  <c r="F10" i="161"/>
  <c r="F4" i="161"/>
  <c r="F5" i="161"/>
  <c r="F6" i="161"/>
  <c r="F7" i="161"/>
  <c r="F3" i="161"/>
  <c r="J50" i="162"/>
  <c r="J51" i="162" s="1"/>
  <c r="K74" i="168" s="1"/>
  <c r="K50" i="162"/>
  <c r="K51" i="162" s="1"/>
  <c r="K74" i="169" s="1"/>
  <c r="N50" i="162"/>
  <c r="N51" i="162" s="1"/>
  <c r="K74" i="170" s="1"/>
  <c r="T49" i="162"/>
  <c r="P49" i="162"/>
  <c r="O49" i="162"/>
  <c r="M49" i="162"/>
  <c r="L49" i="162"/>
  <c r="I49" i="162"/>
  <c r="H49" i="162"/>
  <c r="S46" i="162"/>
  <c r="R46" i="162"/>
  <c r="P46" i="162"/>
  <c r="O46" i="162"/>
  <c r="M46" i="162"/>
  <c r="L46" i="162"/>
  <c r="I46" i="162"/>
  <c r="H46" i="162"/>
  <c r="G46" i="162"/>
  <c r="P40" i="162"/>
  <c r="O40" i="162"/>
  <c r="L40" i="162"/>
  <c r="I40" i="162"/>
  <c r="H40" i="162"/>
  <c r="M31" i="162"/>
  <c r="S25" i="162"/>
  <c r="R25" i="162"/>
  <c r="Q25" i="162"/>
  <c r="Q50" i="162" s="1"/>
  <c r="Q51" i="162" s="1"/>
  <c r="K74" i="173" s="1"/>
  <c r="P25" i="162"/>
  <c r="O25" i="162"/>
  <c r="L25" i="162"/>
  <c r="I25" i="162"/>
  <c r="H25" i="162"/>
  <c r="G25" i="162"/>
  <c r="F25" i="162"/>
  <c r="P22" i="162"/>
  <c r="O22" i="162"/>
  <c r="L22" i="162"/>
  <c r="I22" i="162"/>
  <c r="H22" i="162"/>
  <c r="F22" i="162"/>
  <c r="M19" i="162"/>
  <c r="L19" i="162"/>
  <c r="H19" i="162"/>
  <c r="M16" i="162"/>
  <c r="L16" i="162"/>
  <c r="H16" i="162"/>
  <c r="T13" i="162"/>
  <c r="T50" i="162" s="1"/>
  <c r="T51" i="162" s="1"/>
  <c r="K74" i="176" s="1"/>
  <c r="S13" i="162"/>
  <c r="R13" i="162"/>
  <c r="P13" i="162"/>
  <c r="O13" i="162"/>
  <c r="M13" i="162"/>
  <c r="L13" i="162"/>
  <c r="I13" i="162"/>
  <c r="G13" i="162"/>
  <c r="F13" i="162"/>
  <c r="O7" i="162"/>
  <c r="L7" i="162"/>
  <c r="H7" i="162"/>
  <c r="P4" i="162"/>
  <c r="O4" i="162"/>
  <c r="M4" i="162"/>
  <c r="M50" i="162" s="1"/>
  <c r="M51" i="162" s="1"/>
  <c r="K74" i="165" s="1"/>
  <c r="L4" i="162"/>
  <c r="I4" i="162"/>
  <c r="H4" i="162"/>
  <c r="F4" i="162"/>
  <c r="E35" i="45"/>
  <c r="K8" i="160"/>
  <c r="K10" i="160" s="1"/>
  <c r="K11" i="160" s="1"/>
  <c r="K104" i="160"/>
  <c r="K103" i="160"/>
  <c r="B94" i="160"/>
  <c r="B93" i="160"/>
  <c r="B92" i="160"/>
  <c r="B91" i="160"/>
  <c r="B90" i="160"/>
  <c r="H81" i="160"/>
  <c r="K105" i="160" s="1"/>
  <c r="J58" i="160"/>
  <c r="J57" i="160"/>
  <c r="J56" i="160"/>
  <c r="J55" i="160"/>
  <c r="J54" i="160"/>
  <c r="J50" i="160"/>
  <c r="J48" i="160"/>
  <c r="J46" i="160"/>
  <c r="K32" i="160"/>
  <c r="K31" i="160"/>
  <c r="K30" i="160"/>
  <c r="J26" i="160"/>
  <c r="J28" i="160" s="1"/>
  <c r="J49" i="160" s="1"/>
  <c r="K8" i="157"/>
  <c r="K33" i="157" s="1"/>
  <c r="K104" i="157"/>
  <c r="K103" i="157"/>
  <c r="B94" i="157"/>
  <c r="B93" i="157"/>
  <c r="B92" i="157"/>
  <c r="B91" i="157"/>
  <c r="B90" i="157"/>
  <c r="K89" i="157"/>
  <c r="H81" i="157"/>
  <c r="K105" i="157" s="1"/>
  <c r="K76" i="157"/>
  <c r="J58" i="157"/>
  <c r="J57" i="157"/>
  <c r="J56" i="157"/>
  <c r="J55" i="157"/>
  <c r="J54" i="157"/>
  <c r="J50" i="157"/>
  <c r="J48" i="157"/>
  <c r="J46" i="157"/>
  <c r="J47" i="157" s="1"/>
  <c r="K32" i="157"/>
  <c r="K31" i="157"/>
  <c r="K30" i="157"/>
  <c r="J26" i="157"/>
  <c r="J28" i="157" s="1"/>
  <c r="J15" i="157"/>
  <c r="J16" i="157" s="1"/>
  <c r="K8" i="155"/>
  <c r="S50" i="162" l="1"/>
  <c r="S51" i="162" s="1"/>
  <c r="K74" i="175" s="1"/>
  <c r="F50" i="162"/>
  <c r="F51" i="162" s="1"/>
  <c r="K74" i="155" s="1"/>
  <c r="J60" i="170"/>
  <c r="K106" i="168"/>
  <c r="K106" i="170"/>
  <c r="K106" i="178"/>
  <c r="K15" i="175"/>
  <c r="K33" i="175"/>
  <c r="K47" i="175"/>
  <c r="K106" i="174"/>
  <c r="K106" i="172"/>
  <c r="K15" i="171"/>
  <c r="K47" i="171"/>
  <c r="K10" i="167"/>
  <c r="K11" i="167" s="1"/>
  <c r="K106" i="166"/>
  <c r="J49" i="157"/>
  <c r="P50" i="162"/>
  <c r="P51" i="162" s="1"/>
  <c r="K74" i="172" s="1"/>
  <c r="F17" i="163"/>
  <c r="F18" i="163" s="1"/>
  <c r="L50" i="162"/>
  <c r="L51" i="162" s="1"/>
  <c r="K74" i="164" s="1"/>
  <c r="K15" i="165"/>
  <c r="K47" i="168"/>
  <c r="K55" i="171"/>
  <c r="K47" i="174"/>
  <c r="J60" i="176"/>
  <c r="K15" i="177"/>
  <c r="I50" i="162"/>
  <c r="I51" i="162" s="1"/>
  <c r="K74" i="167" s="1"/>
  <c r="G50" i="162"/>
  <c r="G51" i="162" s="1"/>
  <c r="K74" i="166" s="1"/>
  <c r="K33" i="165"/>
  <c r="K39" i="165" s="1"/>
  <c r="K43" i="165" s="1"/>
  <c r="K47" i="173"/>
  <c r="K55" i="173"/>
  <c r="K48" i="174"/>
  <c r="K56" i="174"/>
  <c r="K47" i="176"/>
  <c r="K33" i="177"/>
  <c r="K39" i="177" s="1"/>
  <c r="K43" i="177" s="1"/>
  <c r="H50" i="162"/>
  <c r="H51" i="162" s="1"/>
  <c r="K74" i="157" s="1"/>
  <c r="R50" i="162"/>
  <c r="R51" i="162" s="1"/>
  <c r="K74" i="174" s="1"/>
  <c r="K47" i="170"/>
  <c r="K33" i="171"/>
  <c r="K39" i="171" s="1"/>
  <c r="K43" i="171" s="1"/>
  <c r="J60" i="172"/>
  <c r="K15" i="173"/>
  <c r="K55" i="175"/>
  <c r="K106" i="176"/>
  <c r="K47" i="178"/>
  <c r="O50" i="162"/>
  <c r="O51" i="162" s="1"/>
  <c r="K74" i="171" s="1"/>
  <c r="K47" i="165"/>
  <c r="K55" i="165"/>
  <c r="J60" i="168"/>
  <c r="K33" i="173"/>
  <c r="K47" i="177"/>
  <c r="K55" i="177"/>
  <c r="K48" i="178"/>
  <c r="K56" i="178"/>
  <c r="K39" i="166"/>
  <c r="K43" i="166" s="1"/>
  <c r="K57" i="167"/>
  <c r="K26" i="169"/>
  <c r="K39" i="172"/>
  <c r="K43" i="172" s="1"/>
  <c r="J60" i="157"/>
  <c r="J61" i="157" s="1"/>
  <c r="J60" i="164"/>
  <c r="J16" i="165"/>
  <c r="K48" i="165"/>
  <c r="K56" i="165"/>
  <c r="K106" i="165"/>
  <c r="J60" i="166"/>
  <c r="K39" i="167"/>
  <c r="K43" i="167" s="1"/>
  <c r="J60" i="167"/>
  <c r="J15" i="168"/>
  <c r="K55" i="168"/>
  <c r="K39" i="169"/>
  <c r="K43" i="169" s="1"/>
  <c r="J60" i="169"/>
  <c r="J15" i="170"/>
  <c r="K55" i="170"/>
  <c r="J16" i="171"/>
  <c r="K48" i="171"/>
  <c r="K56" i="171"/>
  <c r="K106" i="171"/>
  <c r="J15" i="172"/>
  <c r="J16" i="172" s="1"/>
  <c r="J16" i="173"/>
  <c r="K48" i="173"/>
  <c r="K56" i="173"/>
  <c r="K106" i="173"/>
  <c r="K33" i="174"/>
  <c r="K39" i="174" s="1"/>
  <c r="K43" i="174" s="1"/>
  <c r="K39" i="175"/>
  <c r="K43" i="175" s="1"/>
  <c r="J60" i="175"/>
  <c r="J15" i="176"/>
  <c r="K55" i="176"/>
  <c r="J16" i="177"/>
  <c r="K48" i="177"/>
  <c r="K56" i="177"/>
  <c r="K106" i="177"/>
  <c r="K33" i="178"/>
  <c r="K39" i="178" s="1"/>
  <c r="K43" i="178" s="1"/>
  <c r="K26" i="167"/>
  <c r="K55" i="167"/>
  <c r="K55" i="169"/>
  <c r="J60" i="174"/>
  <c r="K48" i="176"/>
  <c r="K56" i="176"/>
  <c r="J60" i="178"/>
  <c r="K57" i="169"/>
  <c r="K47" i="167"/>
  <c r="K48" i="168"/>
  <c r="K56" i="168"/>
  <c r="K47" i="169"/>
  <c r="K48" i="170"/>
  <c r="J60" i="165"/>
  <c r="K10" i="166"/>
  <c r="K11" i="166" s="1"/>
  <c r="K47" i="166" s="1"/>
  <c r="K106" i="167"/>
  <c r="K33" i="168"/>
  <c r="K39" i="168" s="1"/>
  <c r="K43" i="168" s="1"/>
  <c r="K106" i="169"/>
  <c r="K33" i="170"/>
  <c r="K39" i="170" s="1"/>
  <c r="K43" i="170" s="1"/>
  <c r="J60" i="171"/>
  <c r="K10" i="172"/>
  <c r="K11" i="172" s="1"/>
  <c r="K57" i="172" s="1"/>
  <c r="K39" i="173"/>
  <c r="K43" i="173" s="1"/>
  <c r="J60" i="173"/>
  <c r="J15" i="174"/>
  <c r="K55" i="174"/>
  <c r="J16" i="175"/>
  <c r="K48" i="175"/>
  <c r="K56" i="175"/>
  <c r="K106" i="175"/>
  <c r="K33" i="176"/>
  <c r="K39" i="176" s="1"/>
  <c r="K43" i="176" s="1"/>
  <c r="J60" i="177"/>
  <c r="J15" i="178"/>
  <c r="K55" i="178"/>
  <c r="K23" i="178"/>
  <c r="K14" i="178"/>
  <c r="K59" i="178"/>
  <c r="K22" i="178"/>
  <c r="K90" i="178"/>
  <c r="K27" i="178"/>
  <c r="K24" i="178"/>
  <c r="K20" i="178"/>
  <c r="K64" i="178"/>
  <c r="K65" i="178" s="1"/>
  <c r="K68" i="178" s="1"/>
  <c r="K25" i="178"/>
  <c r="K21" i="178"/>
  <c r="K46" i="178"/>
  <c r="K58" i="178"/>
  <c r="K26" i="178"/>
  <c r="K50" i="178"/>
  <c r="K57" i="178"/>
  <c r="J28" i="178"/>
  <c r="J49" i="178" s="1"/>
  <c r="K49" i="178" s="1"/>
  <c r="K54" i="178"/>
  <c r="K23" i="177"/>
  <c r="K14" i="177"/>
  <c r="K59" i="177"/>
  <c r="K90" i="177"/>
  <c r="K27" i="177"/>
  <c r="K24" i="177"/>
  <c r="K20" i="177"/>
  <c r="K64" i="177"/>
  <c r="K65" i="177" s="1"/>
  <c r="K68" i="177" s="1"/>
  <c r="K58" i="177"/>
  <c r="K25" i="177"/>
  <c r="K21" i="177"/>
  <c r="K22" i="177"/>
  <c r="K46" i="177"/>
  <c r="K26" i="177"/>
  <c r="K50" i="177"/>
  <c r="K57" i="177"/>
  <c r="J28" i="177"/>
  <c r="J49" i="177" s="1"/>
  <c r="K49" i="177" s="1"/>
  <c r="K54" i="177"/>
  <c r="K23" i="176"/>
  <c r="K14" i="176"/>
  <c r="K22" i="176"/>
  <c r="K90" i="176"/>
  <c r="K27" i="176"/>
  <c r="K24" i="176"/>
  <c r="K20" i="176"/>
  <c r="K64" i="176"/>
  <c r="K65" i="176" s="1"/>
  <c r="K68" i="176" s="1"/>
  <c r="K25" i="176"/>
  <c r="K21" i="176"/>
  <c r="K59" i="176"/>
  <c r="K46" i="176"/>
  <c r="K58" i="176"/>
  <c r="K26" i="176"/>
  <c r="K50" i="176"/>
  <c r="K57" i="176"/>
  <c r="J28" i="176"/>
  <c r="J49" i="176" s="1"/>
  <c r="K49" i="176" s="1"/>
  <c r="K54" i="176"/>
  <c r="K23" i="175"/>
  <c r="K14" i="175"/>
  <c r="K16" i="175" s="1"/>
  <c r="K90" i="175"/>
  <c r="K27" i="175"/>
  <c r="K24" i="175"/>
  <c r="K20" i="175"/>
  <c r="K64" i="175"/>
  <c r="K65" i="175" s="1"/>
  <c r="K68" i="175" s="1"/>
  <c r="K25" i="175"/>
  <c r="K21" i="175"/>
  <c r="K59" i="175"/>
  <c r="K22" i="175"/>
  <c r="K46" i="175"/>
  <c r="K58" i="175"/>
  <c r="K26" i="175"/>
  <c r="K50" i="175"/>
  <c r="K57" i="175"/>
  <c r="J28" i="175"/>
  <c r="J49" i="175" s="1"/>
  <c r="K49" i="175" s="1"/>
  <c r="K54" i="175"/>
  <c r="K23" i="174"/>
  <c r="K14" i="174"/>
  <c r="K59" i="174"/>
  <c r="K22" i="174"/>
  <c r="K90" i="174"/>
  <c r="K27" i="174"/>
  <c r="K24" i="174"/>
  <c r="K20" i="174"/>
  <c r="K64" i="174"/>
  <c r="K65" i="174" s="1"/>
  <c r="K68" i="174" s="1"/>
  <c r="K25" i="174"/>
  <c r="K21" i="174"/>
  <c r="K46" i="174"/>
  <c r="K58" i="174"/>
  <c r="K26" i="174"/>
  <c r="K50" i="174"/>
  <c r="K57" i="174"/>
  <c r="J28" i="174"/>
  <c r="J49" i="174" s="1"/>
  <c r="K49" i="174" s="1"/>
  <c r="K54" i="174"/>
  <c r="K23" i="173"/>
  <c r="K14" i="173"/>
  <c r="K16" i="173" s="1"/>
  <c r="K59" i="173"/>
  <c r="K90" i="173"/>
  <c r="K27" i="173"/>
  <c r="K24" i="173"/>
  <c r="K20" i="173"/>
  <c r="K64" i="173"/>
  <c r="K65" i="173" s="1"/>
  <c r="K68" i="173" s="1"/>
  <c r="K25" i="173"/>
  <c r="K21" i="173"/>
  <c r="K22" i="173"/>
  <c r="K46" i="173"/>
  <c r="K58" i="173"/>
  <c r="K26" i="173"/>
  <c r="K50" i="173"/>
  <c r="K57" i="173"/>
  <c r="J28" i="173"/>
  <c r="J49" i="173" s="1"/>
  <c r="K49" i="173" s="1"/>
  <c r="K54" i="173"/>
  <c r="K21" i="172"/>
  <c r="J28" i="172"/>
  <c r="J49" i="172" s="1"/>
  <c r="K48" i="172"/>
  <c r="K54" i="172"/>
  <c r="K64" i="172"/>
  <c r="K65" i="172" s="1"/>
  <c r="K68" i="172" s="1"/>
  <c r="K20" i="172"/>
  <c r="K27" i="172"/>
  <c r="K14" i="172"/>
  <c r="K23" i="171"/>
  <c r="K14" i="171"/>
  <c r="K16" i="171" s="1"/>
  <c r="K59" i="171"/>
  <c r="K22" i="171"/>
  <c r="K90" i="171"/>
  <c r="K27" i="171"/>
  <c r="K24" i="171"/>
  <c r="K20" i="171"/>
  <c r="K64" i="171"/>
  <c r="K65" i="171" s="1"/>
  <c r="K68" i="171" s="1"/>
  <c r="K25" i="171"/>
  <c r="K21" i="171"/>
  <c r="K46" i="171"/>
  <c r="K58" i="171"/>
  <c r="K26" i="171"/>
  <c r="K50" i="171"/>
  <c r="K57" i="171"/>
  <c r="J28" i="171"/>
  <c r="J49" i="171" s="1"/>
  <c r="K49" i="171" s="1"/>
  <c r="K54" i="171"/>
  <c r="K23" i="170"/>
  <c r="K14" i="170"/>
  <c r="K22" i="170"/>
  <c r="K90" i="170"/>
  <c r="K27" i="170"/>
  <c r="K24" i="170"/>
  <c r="K20" i="170"/>
  <c r="K64" i="170"/>
  <c r="K65" i="170" s="1"/>
  <c r="K68" i="170" s="1"/>
  <c r="K58" i="170"/>
  <c r="K56" i="170"/>
  <c r="K54" i="170"/>
  <c r="K50" i="170"/>
  <c r="K25" i="170"/>
  <c r="K21" i="170"/>
  <c r="K59" i="170"/>
  <c r="K46" i="170"/>
  <c r="K26" i="170"/>
  <c r="K57" i="170"/>
  <c r="J28" i="170"/>
  <c r="J49" i="170" s="1"/>
  <c r="K49" i="170" s="1"/>
  <c r="K22" i="169"/>
  <c r="K25" i="169"/>
  <c r="K46" i="169"/>
  <c r="K50" i="169"/>
  <c r="K56" i="169"/>
  <c r="K20" i="169"/>
  <c r="K27" i="169"/>
  <c r="K90" i="169"/>
  <c r="K59" i="169"/>
  <c r="K15" i="169"/>
  <c r="K21" i="169"/>
  <c r="J28" i="169"/>
  <c r="J49" i="169" s="1"/>
  <c r="K49" i="169" s="1"/>
  <c r="K48" i="169"/>
  <c r="K54" i="169"/>
  <c r="K58" i="169"/>
  <c r="K64" i="169"/>
  <c r="K65" i="169" s="1"/>
  <c r="K68" i="169" s="1"/>
  <c r="K24" i="169"/>
  <c r="K14" i="169"/>
  <c r="K16" i="169" s="1"/>
  <c r="K23" i="169"/>
  <c r="K23" i="168"/>
  <c r="K14" i="168"/>
  <c r="K59" i="168"/>
  <c r="K90" i="168"/>
  <c r="K27" i="168"/>
  <c r="K24" i="168"/>
  <c r="K20" i="168"/>
  <c r="K64" i="168"/>
  <c r="K65" i="168" s="1"/>
  <c r="K68" i="168" s="1"/>
  <c r="K25" i="168"/>
  <c r="K21" i="168"/>
  <c r="K22" i="168"/>
  <c r="K46" i="168"/>
  <c r="K58" i="168"/>
  <c r="K26" i="168"/>
  <c r="K50" i="168"/>
  <c r="K57" i="168"/>
  <c r="J28" i="168"/>
  <c r="J49" i="168" s="1"/>
  <c r="K49" i="168" s="1"/>
  <c r="K54" i="168"/>
  <c r="K59" i="167"/>
  <c r="K21" i="167"/>
  <c r="K25" i="167"/>
  <c r="K46" i="167"/>
  <c r="K50" i="167"/>
  <c r="K56" i="167"/>
  <c r="K20" i="167"/>
  <c r="K24" i="167"/>
  <c r="K27" i="167"/>
  <c r="K90" i="167"/>
  <c r="K22" i="167"/>
  <c r="K15" i="167"/>
  <c r="J28" i="167"/>
  <c r="J49" i="167" s="1"/>
  <c r="K49" i="167" s="1"/>
  <c r="K48" i="167"/>
  <c r="K54" i="167"/>
  <c r="K58" i="167"/>
  <c r="K64" i="167"/>
  <c r="K65" i="167" s="1"/>
  <c r="K68" i="167" s="1"/>
  <c r="K14" i="167"/>
  <c r="K23" i="167"/>
  <c r="J28" i="166"/>
  <c r="J49" i="166" s="1"/>
  <c r="K23" i="165"/>
  <c r="K14" i="165"/>
  <c r="K16" i="165" s="1"/>
  <c r="K59" i="165"/>
  <c r="K90" i="165"/>
  <c r="K27" i="165"/>
  <c r="K24" i="165"/>
  <c r="K20" i="165"/>
  <c r="K64" i="165"/>
  <c r="K65" i="165" s="1"/>
  <c r="K68" i="165" s="1"/>
  <c r="K25" i="165"/>
  <c r="K21" i="165"/>
  <c r="K22" i="165"/>
  <c r="K46" i="165"/>
  <c r="K58" i="165"/>
  <c r="K26" i="165"/>
  <c r="K50" i="165"/>
  <c r="K57" i="165"/>
  <c r="J28" i="165"/>
  <c r="J49" i="165" s="1"/>
  <c r="K49" i="165" s="1"/>
  <c r="K54" i="165"/>
  <c r="K15" i="164"/>
  <c r="K23" i="164"/>
  <c r="K14" i="164"/>
  <c r="K90" i="164"/>
  <c r="K27" i="164"/>
  <c r="K24" i="164"/>
  <c r="K20" i="164"/>
  <c r="K64" i="164"/>
  <c r="K65" i="164" s="1"/>
  <c r="K68" i="164" s="1"/>
  <c r="K58" i="164"/>
  <c r="K56" i="164"/>
  <c r="K54" i="164"/>
  <c r="K50" i="164"/>
  <c r="K48" i="164"/>
  <c r="K46" i="164"/>
  <c r="K25" i="164"/>
  <c r="K21" i="164"/>
  <c r="K59" i="164"/>
  <c r="K22" i="164"/>
  <c r="K47" i="164"/>
  <c r="K106" i="164"/>
  <c r="K26" i="164"/>
  <c r="K57" i="164"/>
  <c r="K33" i="164"/>
  <c r="K39" i="164" s="1"/>
  <c r="K43" i="164" s="1"/>
  <c r="J28" i="164"/>
  <c r="J49" i="164" s="1"/>
  <c r="K49" i="164" s="1"/>
  <c r="K55" i="164"/>
  <c r="F15" i="161"/>
  <c r="F16" i="161" s="1"/>
  <c r="K33" i="160"/>
  <c r="K39" i="160" s="1"/>
  <c r="K43" i="160" s="1"/>
  <c r="K10" i="157"/>
  <c r="K11" i="157" s="1"/>
  <c r="K48" i="157" s="1"/>
  <c r="K49" i="160"/>
  <c r="K46" i="160"/>
  <c r="K57" i="160"/>
  <c r="K48" i="160"/>
  <c r="K54" i="160"/>
  <c r="K58" i="160"/>
  <c r="K55" i="160"/>
  <c r="K50" i="160"/>
  <c r="K20" i="160"/>
  <c r="K24" i="160"/>
  <c r="K23" i="160"/>
  <c r="K14" i="160"/>
  <c r="K25" i="160"/>
  <c r="K64" i="160"/>
  <c r="K65" i="160" s="1"/>
  <c r="K68" i="160" s="1"/>
  <c r="K27" i="160"/>
  <c r="K22" i="160"/>
  <c r="K90" i="160"/>
  <c r="K59" i="160"/>
  <c r="K26" i="160"/>
  <c r="K21" i="160"/>
  <c r="K106" i="160"/>
  <c r="K56" i="160"/>
  <c r="J60" i="160"/>
  <c r="J15" i="160"/>
  <c r="J47" i="160"/>
  <c r="K47" i="160" s="1"/>
  <c r="J51" i="157"/>
  <c r="K39" i="157"/>
  <c r="K43" i="157" s="1"/>
  <c r="J17" i="157"/>
  <c r="J18" i="157" s="1"/>
  <c r="K106" i="157"/>
  <c r="K64" i="157"/>
  <c r="K65" i="157" s="1"/>
  <c r="K68" i="157" s="1"/>
  <c r="K24" i="157"/>
  <c r="K25" i="157"/>
  <c r="K23" i="166" l="1"/>
  <c r="K16" i="177"/>
  <c r="K90" i="166"/>
  <c r="K72" i="176"/>
  <c r="K72" i="168"/>
  <c r="K72" i="155"/>
  <c r="K72" i="175"/>
  <c r="K72" i="167"/>
  <c r="K72" i="157"/>
  <c r="K72" i="166"/>
  <c r="K72" i="173"/>
  <c r="K72" i="174"/>
  <c r="K72" i="172"/>
  <c r="K72" i="165"/>
  <c r="K72" i="171"/>
  <c r="K72" i="170"/>
  <c r="K72" i="164"/>
  <c r="K72" i="169"/>
  <c r="K72" i="178"/>
  <c r="K72" i="177"/>
  <c r="K72" i="160"/>
  <c r="K28" i="178"/>
  <c r="K42" i="178" s="1"/>
  <c r="K90" i="172"/>
  <c r="K22" i="172"/>
  <c r="K50" i="172"/>
  <c r="K23" i="172"/>
  <c r="K24" i="172"/>
  <c r="K58" i="172"/>
  <c r="K49" i="172"/>
  <c r="K25" i="172"/>
  <c r="K26" i="172"/>
  <c r="K59" i="172"/>
  <c r="K56" i="172"/>
  <c r="K46" i="172"/>
  <c r="K15" i="172"/>
  <c r="K16" i="172" s="1"/>
  <c r="K60" i="171"/>
  <c r="K64" i="166"/>
  <c r="K65" i="166" s="1"/>
  <c r="K68" i="166" s="1"/>
  <c r="K49" i="166"/>
  <c r="K46" i="166"/>
  <c r="J51" i="165"/>
  <c r="J51" i="177"/>
  <c r="K55" i="172"/>
  <c r="J61" i="169"/>
  <c r="K61" i="169" s="1"/>
  <c r="J61" i="167"/>
  <c r="K61" i="167" s="1"/>
  <c r="J17" i="177"/>
  <c r="K17" i="177" s="1"/>
  <c r="K18" i="177" s="1"/>
  <c r="K41" i="177" s="1"/>
  <c r="K47" i="172"/>
  <c r="J51" i="171"/>
  <c r="J51" i="174"/>
  <c r="J51" i="168"/>
  <c r="J17" i="171"/>
  <c r="K15" i="176"/>
  <c r="K16" i="176" s="1"/>
  <c r="J16" i="176"/>
  <c r="J61" i="164"/>
  <c r="K61" i="164" s="1"/>
  <c r="K16" i="164"/>
  <c r="K14" i="166"/>
  <c r="K25" i="166"/>
  <c r="K27" i="166"/>
  <c r="K58" i="166"/>
  <c r="K21" i="166"/>
  <c r="J61" i="166"/>
  <c r="K61" i="166" s="1"/>
  <c r="K51" i="167"/>
  <c r="K92" i="167" s="1"/>
  <c r="J51" i="167"/>
  <c r="J51" i="169"/>
  <c r="J51" i="170"/>
  <c r="K28" i="170"/>
  <c r="K42" i="170" s="1"/>
  <c r="J51" i="172"/>
  <c r="J51" i="178"/>
  <c r="K15" i="178"/>
  <c r="K16" i="178" s="1"/>
  <c r="J16" i="178"/>
  <c r="J17" i="166"/>
  <c r="K17" i="166" s="1"/>
  <c r="K51" i="170"/>
  <c r="K92" i="170" s="1"/>
  <c r="K56" i="166"/>
  <c r="J51" i="166"/>
  <c r="K24" i="166"/>
  <c r="K54" i="166"/>
  <c r="K15" i="166"/>
  <c r="K60" i="167"/>
  <c r="J17" i="167"/>
  <c r="K17" i="167" s="1"/>
  <c r="J61" i="171"/>
  <c r="K61" i="171" s="1"/>
  <c r="K62" i="171" s="1"/>
  <c r="J17" i="172"/>
  <c r="K17" i="172" s="1"/>
  <c r="K60" i="173"/>
  <c r="K51" i="177"/>
  <c r="K92" i="177" s="1"/>
  <c r="K15" i="174"/>
  <c r="K16" i="174" s="1"/>
  <c r="J16" i="174"/>
  <c r="K57" i="166"/>
  <c r="J61" i="172"/>
  <c r="K28" i="177"/>
  <c r="K42" i="177" s="1"/>
  <c r="J51" i="160"/>
  <c r="K51" i="165"/>
  <c r="K92" i="165" s="1"/>
  <c r="K55" i="166"/>
  <c r="K48" i="166"/>
  <c r="K51" i="166" s="1"/>
  <c r="K92" i="166" s="1"/>
  <c r="K22" i="166"/>
  <c r="K20" i="166"/>
  <c r="K50" i="166"/>
  <c r="K59" i="166"/>
  <c r="K51" i="168"/>
  <c r="K92" i="168" s="1"/>
  <c r="K28" i="171"/>
  <c r="K42" i="171" s="1"/>
  <c r="K51" i="174"/>
  <c r="K92" i="174" s="1"/>
  <c r="K60" i="175"/>
  <c r="K60" i="178"/>
  <c r="K26" i="166"/>
  <c r="K15" i="170"/>
  <c r="K16" i="170" s="1"/>
  <c r="J16" i="170"/>
  <c r="K15" i="168"/>
  <c r="K16" i="168" s="1"/>
  <c r="J16" i="168"/>
  <c r="J61" i="178"/>
  <c r="K51" i="178"/>
  <c r="K92" i="178" s="1"/>
  <c r="J18" i="177"/>
  <c r="K60" i="177"/>
  <c r="J61" i="177"/>
  <c r="J61" i="176"/>
  <c r="K60" i="176"/>
  <c r="J17" i="176"/>
  <c r="J51" i="176"/>
  <c r="K51" i="176"/>
  <c r="K92" i="176" s="1"/>
  <c r="K28" i="176"/>
  <c r="K42" i="176" s="1"/>
  <c r="J51" i="175"/>
  <c r="J61" i="175"/>
  <c r="J17" i="175"/>
  <c r="K51" i="175"/>
  <c r="K92" i="175" s="1"/>
  <c r="K28" i="175"/>
  <c r="K42" i="175" s="1"/>
  <c r="J61" i="174"/>
  <c r="K28" i="174"/>
  <c r="K42" i="174" s="1"/>
  <c r="K60" i="174"/>
  <c r="J17" i="174"/>
  <c r="J17" i="173"/>
  <c r="J61" i="173"/>
  <c r="J51" i="173"/>
  <c r="K51" i="173"/>
  <c r="K92" i="173" s="1"/>
  <c r="K28" i="173"/>
  <c r="K42" i="173" s="1"/>
  <c r="K28" i="172"/>
  <c r="K42" i="172" s="1"/>
  <c r="J18" i="172"/>
  <c r="K51" i="171"/>
  <c r="K92" i="171" s="1"/>
  <c r="K60" i="170"/>
  <c r="J61" i="170"/>
  <c r="J17" i="170"/>
  <c r="K28" i="169"/>
  <c r="K42" i="169" s="1"/>
  <c r="J17" i="169"/>
  <c r="K51" i="169"/>
  <c r="K92" i="169" s="1"/>
  <c r="K60" i="169"/>
  <c r="J62" i="169"/>
  <c r="K28" i="168"/>
  <c r="K42" i="168" s="1"/>
  <c r="K60" i="168"/>
  <c r="J61" i="168"/>
  <c r="J17" i="168"/>
  <c r="K16" i="167"/>
  <c r="K28" i="167"/>
  <c r="K42" i="167" s="1"/>
  <c r="J18" i="166"/>
  <c r="J62" i="166"/>
  <c r="K60" i="165"/>
  <c r="J61" i="165"/>
  <c r="J17" i="165"/>
  <c r="K28" i="165"/>
  <c r="K42" i="165" s="1"/>
  <c r="K46" i="157"/>
  <c r="K61" i="157"/>
  <c r="K14" i="157"/>
  <c r="K26" i="157"/>
  <c r="K22" i="157"/>
  <c r="K50" i="157"/>
  <c r="K57" i="157"/>
  <c r="K27" i="157"/>
  <c r="K55" i="157"/>
  <c r="K20" i="157"/>
  <c r="K90" i="157"/>
  <c r="K23" i="157"/>
  <c r="J51" i="164"/>
  <c r="J17" i="164"/>
  <c r="K51" i="164"/>
  <c r="K92" i="164" s="1"/>
  <c r="K60" i="164"/>
  <c r="K28" i="164"/>
  <c r="K42" i="164" s="1"/>
  <c r="J62" i="164"/>
  <c r="K17" i="157"/>
  <c r="K47" i="157"/>
  <c r="K58" i="157"/>
  <c r="K21" i="157"/>
  <c r="K54" i="157"/>
  <c r="K59" i="157"/>
  <c r="K56" i="157"/>
  <c r="K15" i="157"/>
  <c r="K49" i="157"/>
  <c r="K51" i="160"/>
  <c r="K92" i="160" s="1"/>
  <c r="K60" i="160"/>
  <c r="J16" i="160"/>
  <c r="K15" i="160"/>
  <c r="K16" i="160" s="1"/>
  <c r="K28" i="160"/>
  <c r="K42" i="160" s="1"/>
  <c r="J61" i="160"/>
  <c r="K61" i="160" s="1"/>
  <c r="J62" i="157"/>
  <c r="K16" i="166" l="1"/>
  <c r="K18" i="166" s="1"/>
  <c r="K41" i="166" s="1"/>
  <c r="K60" i="166"/>
  <c r="K62" i="166" s="1"/>
  <c r="K51" i="172"/>
  <c r="K92" i="172" s="1"/>
  <c r="K60" i="172"/>
  <c r="K18" i="172"/>
  <c r="K41" i="172" s="1"/>
  <c r="K44" i="172" s="1"/>
  <c r="K91" i="172" s="1"/>
  <c r="K62" i="169"/>
  <c r="J62" i="167"/>
  <c r="J18" i="167"/>
  <c r="K62" i="167"/>
  <c r="K18" i="167"/>
  <c r="K41" i="167" s="1"/>
  <c r="K44" i="167" s="1"/>
  <c r="K28" i="166"/>
  <c r="K42" i="166" s="1"/>
  <c r="K62" i="164"/>
  <c r="K16" i="157"/>
  <c r="K18" i="157" s="1"/>
  <c r="K41" i="157" s="1"/>
  <c r="K44" i="157" s="1"/>
  <c r="K17" i="171"/>
  <c r="K18" i="171" s="1"/>
  <c r="K41" i="171" s="1"/>
  <c r="K44" i="171" s="1"/>
  <c r="J18" i="171"/>
  <c r="K67" i="171"/>
  <c r="K69" i="171" s="1"/>
  <c r="K93" i="171"/>
  <c r="K60" i="157"/>
  <c r="K62" i="157" s="1"/>
  <c r="K67" i="157" s="1"/>
  <c r="K69" i="157" s="1"/>
  <c r="K28" i="157"/>
  <c r="K42" i="157" s="1"/>
  <c r="K44" i="177"/>
  <c r="K91" i="177" s="1"/>
  <c r="K61" i="172"/>
  <c r="K62" i="172" s="1"/>
  <c r="J62" i="172"/>
  <c r="J17" i="178"/>
  <c r="K17" i="178" s="1"/>
  <c r="K18" i="178" s="1"/>
  <c r="K41" i="178" s="1"/>
  <c r="K44" i="178" s="1"/>
  <c r="K91" i="178" s="1"/>
  <c r="J62" i="171"/>
  <c r="K61" i="178"/>
  <c r="K62" i="178" s="1"/>
  <c r="J62" i="178"/>
  <c r="K61" i="177"/>
  <c r="K62" i="177" s="1"/>
  <c r="J62" i="177"/>
  <c r="K61" i="176"/>
  <c r="K62" i="176" s="1"/>
  <c r="J62" i="176"/>
  <c r="K17" i="176"/>
  <c r="K18" i="176" s="1"/>
  <c r="K41" i="176" s="1"/>
  <c r="K44" i="176" s="1"/>
  <c r="J18" i="176"/>
  <c r="K17" i="175"/>
  <c r="K18" i="175" s="1"/>
  <c r="K41" i="175" s="1"/>
  <c r="K44" i="175" s="1"/>
  <c r="J18" i="175"/>
  <c r="K61" i="175"/>
  <c r="K62" i="175" s="1"/>
  <c r="J62" i="175"/>
  <c r="K61" i="174"/>
  <c r="K62" i="174" s="1"/>
  <c r="J62" i="174"/>
  <c r="K17" i="174"/>
  <c r="K18" i="174" s="1"/>
  <c r="K41" i="174" s="1"/>
  <c r="K44" i="174" s="1"/>
  <c r="J18" i="174"/>
  <c r="K61" i="173"/>
  <c r="K62" i="173" s="1"/>
  <c r="J62" i="173"/>
  <c r="J18" i="173"/>
  <c r="K17" i="173"/>
  <c r="K18" i="173" s="1"/>
  <c r="K41" i="173" s="1"/>
  <c r="K44" i="173" s="1"/>
  <c r="K17" i="170"/>
  <c r="K18" i="170" s="1"/>
  <c r="K41" i="170" s="1"/>
  <c r="K44" i="170" s="1"/>
  <c r="J18" i="170"/>
  <c r="K61" i="170"/>
  <c r="K62" i="170" s="1"/>
  <c r="J62" i="170"/>
  <c r="K17" i="169"/>
  <c r="K18" i="169" s="1"/>
  <c r="K41" i="169" s="1"/>
  <c r="K44" i="169" s="1"/>
  <c r="J18" i="169"/>
  <c r="K67" i="169"/>
  <c r="K69" i="169" s="1"/>
  <c r="K93" i="169"/>
  <c r="K61" i="168"/>
  <c r="K62" i="168" s="1"/>
  <c r="J62" i="168"/>
  <c r="K17" i="168"/>
  <c r="K18" i="168" s="1"/>
  <c r="K41" i="168" s="1"/>
  <c r="K44" i="168" s="1"/>
  <c r="J18" i="168"/>
  <c r="K67" i="166"/>
  <c r="K69" i="166" s="1"/>
  <c r="K93" i="166"/>
  <c r="K61" i="165"/>
  <c r="K62" i="165" s="1"/>
  <c r="J62" i="165"/>
  <c r="K17" i="165"/>
  <c r="K18" i="165" s="1"/>
  <c r="K41" i="165" s="1"/>
  <c r="K44" i="165" s="1"/>
  <c r="J18" i="165"/>
  <c r="K51" i="157"/>
  <c r="K92" i="157" s="1"/>
  <c r="K17" i="164"/>
  <c r="K18" i="164" s="1"/>
  <c r="K41" i="164" s="1"/>
  <c r="K44" i="164" s="1"/>
  <c r="J18" i="164"/>
  <c r="K67" i="164"/>
  <c r="K69" i="164" s="1"/>
  <c r="K93" i="164"/>
  <c r="K62" i="160"/>
  <c r="K93" i="160" s="1"/>
  <c r="J17" i="160"/>
  <c r="K17" i="160" s="1"/>
  <c r="K18" i="160" s="1"/>
  <c r="K41" i="160" s="1"/>
  <c r="K44" i="160" s="1"/>
  <c r="J62" i="160"/>
  <c r="K93" i="167" l="1"/>
  <c r="K67" i="167"/>
  <c r="K69" i="167" s="1"/>
  <c r="K44" i="166"/>
  <c r="K91" i="166" s="1"/>
  <c r="K93" i="157"/>
  <c r="K91" i="171"/>
  <c r="K67" i="172"/>
  <c r="K69" i="172" s="1"/>
  <c r="K93" i="172"/>
  <c r="J18" i="160"/>
  <c r="J18" i="178"/>
  <c r="K67" i="178"/>
  <c r="K69" i="178" s="1"/>
  <c r="K93" i="178"/>
  <c r="K74" i="178"/>
  <c r="K73" i="178"/>
  <c r="K67" i="177"/>
  <c r="K69" i="177" s="1"/>
  <c r="K93" i="177"/>
  <c r="K74" i="177"/>
  <c r="K73" i="177"/>
  <c r="K74" i="160"/>
  <c r="K73" i="160"/>
  <c r="K67" i="176"/>
  <c r="K69" i="176" s="1"/>
  <c r="K93" i="176"/>
  <c r="K91" i="176"/>
  <c r="K75" i="176"/>
  <c r="K94" i="176" s="1"/>
  <c r="K67" i="175"/>
  <c r="K69" i="175" s="1"/>
  <c r="K93" i="175"/>
  <c r="K91" i="175"/>
  <c r="K67" i="174"/>
  <c r="K69" i="174" s="1"/>
  <c r="K93" i="174"/>
  <c r="K91" i="174"/>
  <c r="K67" i="173"/>
  <c r="K69" i="173" s="1"/>
  <c r="K93" i="173"/>
  <c r="K91" i="173"/>
  <c r="K67" i="170"/>
  <c r="K69" i="170" s="1"/>
  <c r="K93" i="170"/>
  <c r="K91" i="170"/>
  <c r="K91" i="169"/>
  <c r="K67" i="168"/>
  <c r="K69" i="168" s="1"/>
  <c r="K93" i="168"/>
  <c r="K91" i="168"/>
  <c r="K91" i="167"/>
  <c r="K67" i="165"/>
  <c r="K69" i="165" s="1"/>
  <c r="K93" i="165"/>
  <c r="K91" i="165"/>
  <c r="K91" i="164"/>
  <c r="K67" i="160"/>
  <c r="K69" i="160" s="1"/>
  <c r="K91" i="160"/>
  <c r="K91" i="157"/>
  <c r="K75" i="178" l="1"/>
  <c r="K94" i="178" s="1"/>
  <c r="K95" i="178" s="1"/>
  <c r="K77" i="178" s="1"/>
  <c r="K75" i="171"/>
  <c r="K94" i="171" s="1"/>
  <c r="K95" i="171" s="1"/>
  <c r="K77" i="171" s="1"/>
  <c r="K75" i="173"/>
  <c r="K94" i="173" s="1"/>
  <c r="K95" i="173" s="1"/>
  <c r="K75" i="165"/>
  <c r="K94" i="165" s="1"/>
  <c r="K95" i="165" s="1"/>
  <c r="K75" i="164"/>
  <c r="K94" i="164" s="1"/>
  <c r="K95" i="164" s="1"/>
  <c r="K75" i="172"/>
  <c r="K94" i="172" s="1"/>
  <c r="K95" i="172" s="1"/>
  <c r="K77" i="172" s="1"/>
  <c r="K75" i="169"/>
  <c r="K94" i="169" s="1"/>
  <c r="K95" i="169" s="1"/>
  <c r="K75" i="174"/>
  <c r="K94" i="174" s="1"/>
  <c r="K95" i="174" s="1"/>
  <c r="K75" i="177"/>
  <c r="K94" i="177" s="1"/>
  <c r="K95" i="177" s="1"/>
  <c r="K95" i="176"/>
  <c r="K75" i="175"/>
  <c r="K94" i="175" s="1"/>
  <c r="K95" i="175" s="1"/>
  <c r="K75" i="170"/>
  <c r="K94" i="170" s="1"/>
  <c r="K95" i="170" s="1"/>
  <c r="K75" i="168"/>
  <c r="K94" i="168" s="1"/>
  <c r="K95" i="168" s="1"/>
  <c r="K75" i="167"/>
  <c r="K94" i="167" s="1"/>
  <c r="K95" i="167" s="1"/>
  <c r="K75" i="160"/>
  <c r="K94" i="160" s="1"/>
  <c r="K95" i="160" s="1"/>
  <c r="K75" i="157"/>
  <c r="K94" i="157" s="1"/>
  <c r="K95" i="157" s="1"/>
  <c r="K75" i="166" l="1"/>
  <c r="K94" i="166" s="1"/>
  <c r="K95" i="166" s="1"/>
  <c r="K77" i="166" s="1"/>
  <c r="K78" i="166" s="1"/>
  <c r="I79" i="166" s="1"/>
  <c r="K97" i="166" s="1"/>
  <c r="I85" i="166" s="1"/>
  <c r="K78" i="172"/>
  <c r="I79" i="172" s="1"/>
  <c r="K97" i="172" s="1"/>
  <c r="K78" i="171"/>
  <c r="I79" i="171" s="1"/>
  <c r="K97" i="171" s="1"/>
  <c r="D29" i="45" s="1"/>
  <c r="F29" i="45" s="1"/>
  <c r="G29" i="45" s="1"/>
  <c r="K78" i="178"/>
  <c r="I79" i="178" s="1"/>
  <c r="K97" i="178" s="1"/>
  <c r="D26" i="45" s="1"/>
  <c r="F26" i="45" s="1"/>
  <c r="G26" i="45" s="1"/>
  <c r="K77" i="177"/>
  <c r="K78" i="177" s="1"/>
  <c r="I79" i="177" s="1"/>
  <c r="K97" i="177" s="1"/>
  <c r="K77" i="176"/>
  <c r="K78" i="176" s="1"/>
  <c r="I79" i="176" s="1"/>
  <c r="K97" i="176" s="1"/>
  <c r="D34" i="45" s="1"/>
  <c r="F34" i="45" s="1"/>
  <c r="G34" i="45" s="1"/>
  <c r="K77" i="175"/>
  <c r="K78" i="175" s="1"/>
  <c r="I79" i="175" s="1"/>
  <c r="K97" i="175" s="1"/>
  <c r="D33" i="45" s="1"/>
  <c r="F33" i="45" s="1"/>
  <c r="G33" i="45" s="1"/>
  <c r="K77" i="174"/>
  <c r="K78" i="174" s="1"/>
  <c r="K77" i="173"/>
  <c r="K77" i="170"/>
  <c r="K78" i="170" s="1"/>
  <c r="K77" i="169"/>
  <c r="K77" i="168"/>
  <c r="K78" i="168" s="1"/>
  <c r="I79" i="168" s="1"/>
  <c r="K97" i="168" s="1"/>
  <c r="D22" i="45" s="1"/>
  <c r="K77" i="167"/>
  <c r="K78" i="167" s="1"/>
  <c r="I79" i="167" s="1"/>
  <c r="K97" i="167" s="1"/>
  <c r="K77" i="165"/>
  <c r="K78" i="165" s="1"/>
  <c r="I79" i="165" s="1"/>
  <c r="K97" i="165" s="1"/>
  <c r="D25" i="45" s="1"/>
  <c r="K77" i="164"/>
  <c r="K78" i="164" s="1"/>
  <c r="I79" i="164" s="1"/>
  <c r="K97" i="164" s="1"/>
  <c r="D24" i="45" s="1"/>
  <c r="K77" i="160"/>
  <c r="K78" i="160" s="1"/>
  <c r="I79" i="160" s="1"/>
  <c r="K97" i="160" s="1"/>
  <c r="K77" i="157"/>
  <c r="K78" i="157" s="1"/>
  <c r="I79" i="157" s="1"/>
  <c r="K97" i="157" s="1"/>
  <c r="K98" i="172" l="1"/>
  <c r="K99" i="172" s="1"/>
  <c r="K100" i="172" s="1"/>
  <c r="D30" i="45"/>
  <c r="F30" i="45" s="1"/>
  <c r="G30" i="45" s="1"/>
  <c r="I81" i="166"/>
  <c r="I82" i="166"/>
  <c r="I84" i="166"/>
  <c r="I86" i="166"/>
  <c r="K96" i="166"/>
  <c r="K98" i="166"/>
  <c r="I83" i="166"/>
  <c r="I85" i="172"/>
  <c r="K96" i="172"/>
  <c r="I84" i="172"/>
  <c r="I82" i="172"/>
  <c r="I83" i="172"/>
  <c r="I86" i="172"/>
  <c r="I81" i="172"/>
  <c r="I85" i="178"/>
  <c r="I82" i="178"/>
  <c r="I84" i="178"/>
  <c r="K96" i="178"/>
  <c r="K98" i="178"/>
  <c r="K99" i="178" s="1"/>
  <c r="K100" i="178" s="1"/>
  <c r="I83" i="178"/>
  <c r="I86" i="178"/>
  <c r="I81" i="178"/>
  <c r="K98" i="171"/>
  <c r="K99" i="171" s="1"/>
  <c r="K100" i="171" s="1"/>
  <c r="I83" i="171"/>
  <c r="I84" i="171"/>
  <c r="K96" i="171"/>
  <c r="I86" i="171"/>
  <c r="I81" i="171"/>
  <c r="I85" i="171"/>
  <c r="I82" i="171"/>
  <c r="I79" i="170"/>
  <c r="K97" i="170" s="1"/>
  <c r="I79" i="174"/>
  <c r="K97" i="174" s="1"/>
  <c r="K78" i="173"/>
  <c r="I79" i="173" s="1"/>
  <c r="K97" i="173" s="1"/>
  <c r="D31" i="45" s="1"/>
  <c r="F31" i="45" s="1"/>
  <c r="G31" i="45" s="1"/>
  <c r="I85" i="177"/>
  <c r="I81" i="177"/>
  <c r="K98" i="177"/>
  <c r="K99" i="177" s="1"/>
  <c r="K100" i="177" s="1"/>
  <c r="D27" i="45" s="1"/>
  <c r="F27" i="45" s="1"/>
  <c r="G27" i="45" s="1"/>
  <c r="I86" i="177"/>
  <c r="I82" i="177"/>
  <c r="K96" i="177"/>
  <c r="I83" i="177"/>
  <c r="I84" i="177"/>
  <c r="I85" i="176"/>
  <c r="I81" i="176"/>
  <c r="K98" i="176"/>
  <c r="K99" i="176" s="1"/>
  <c r="K100" i="176" s="1"/>
  <c r="I86" i="176"/>
  <c r="I82" i="176"/>
  <c r="K96" i="176"/>
  <c r="I83" i="176"/>
  <c r="I84" i="176"/>
  <c r="I85" i="175"/>
  <c r="I84" i="175"/>
  <c r="I81" i="175"/>
  <c r="K98" i="175"/>
  <c r="K99" i="175" s="1"/>
  <c r="K100" i="175" s="1"/>
  <c r="I86" i="175"/>
  <c r="I82" i="175"/>
  <c r="K96" i="175"/>
  <c r="I83" i="175"/>
  <c r="K78" i="169"/>
  <c r="I79" i="169" s="1"/>
  <c r="K97" i="169" s="1"/>
  <c r="D23" i="45" s="1"/>
  <c r="I85" i="168"/>
  <c r="I81" i="168"/>
  <c r="K98" i="168"/>
  <c r="K99" i="168" s="1"/>
  <c r="K100" i="168" s="1"/>
  <c r="I86" i="168"/>
  <c r="I82" i="168"/>
  <c r="K96" i="168"/>
  <c r="I83" i="168"/>
  <c r="I84" i="168"/>
  <c r="I85" i="167"/>
  <c r="I83" i="167"/>
  <c r="K96" i="167"/>
  <c r="I84" i="167"/>
  <c r="I81" i="167"/>
  <c r="K98" i="167"/>
  <c r="I86" i="167"/>
  <c r="I82" i="167"/>
  <c r="I85" i="165"/>
  <c r="I81" i="165"/>
  <c r="K98" i="165"/>
  <c r="K99" i="165" s="1"/>
  <c r="K100" i="165" s="1"/>
  <c r="I86" i="165"/>
  <c r="I82" i="165"/>
  <c r="K96" i="165"/>
  <c r="I83" i="165"/>
  <c r="I84" i="165"/>
  <c r="I85" i="164"/>
  <c r="K98" i="164"/>
  <c r="K99" i="164" s="1"/>
  <c r="K100" i="164" s="1"/>
  <c r="I86" i="164"/>
  <c r="I82" i="164"/>
  <c r="I83" i="164"/>
  <c r="K96" i="164"/>
  <c r="I84" i="164"/>
  <c r="I81" i="164"/>
  <c r="I83" i="160"/>
  <c r="I81" i="160"/>
  <c r="K96" i="160"/>
  <c r="I82" i="160"/>
  <c r="I86" i="160"/>
  <c r="I85" i="160"/>
  <c r="K98" i="160"/>
  <c r="K99" i="160" s="1"/>
  <c r="K100" i="160" s="1"/>
  <c r="D20" i="45" s="1"/>
  <c r="I84" i="160"/>
  <c r="I83" i="157"/>
  <c r="K96" i="157"/>
  <c r="I82" i="157"/>
  <c r="I86" i="157"/>
  <c r="I81" i="157"/>
  <c r="K98" i="157"/>
  <c r="I84" i="157"/>
  <c r="I85" i="157"/>
  <c r="K81" i="166" l="1"/>
  <c r="K87" i="166" s="1"/>
  <c r="K99" i="157"/>
  <c r="K100" i="157" s="1"/>
  <c r="D19" i="45"/>
  <c r="I84" i="174"/>
  <c r="D32" i="45"/>
  <c r="F32" i="45" s="1"/>
  <c r="G32" i="45" s="1"/>
  <c r="I86" i="170"/>
  <c r="D28" i="45"/>
  <c r="F28" i="45" s="1"/>
  <c r="G28" i="45" s="1"/>
  <c r="K99" i="167"/>
  <c r="K100" i="167" s="1"/>
  <c r="D21" i="45"/>
  <c r="K99" i="166"/>
  <c r="K100" i="166" s="1"/>
  <c r="D18" i="45"/>
  <c r="K81" i="178"/>
  <c r="K87" i="178" s="1"/>
  <c r="I86" i="174"/>
  <c r="I81" i="174"/>
  <c r="K98" i="174"/>
  <c r="K99" i="174" s="1"/>
  <c r="K100" i="174" s="1"/>
  <c r="I83" i="174"/>
  <c r="I85" i="174"/>
  <c r="I82" i="174"/>
  <c r="K96" i="174"/>
  <c r="K81" i="172"/>
  <c r="K87" i="172" s="1"/>
  <c r="K81" i="171"/>
  <c r="K87" i="171" s="1"/>
  <c r="I83" i="170"/>
  <c r="K96" i="170"/>
  <c r="K98" i="170"/>
  <c r="K99" i="170" s="1"/>
  <c r="K100" i="170" s="1"/>
  <c r="I84" i="170"/>
  <c r="I82" i="170"/>
  <c r="I85" i="170"/>
  <c r="I81" i="170"/>
  <c r="I86" i="173"/>
  <c r="I81" i="173"/>
  <c r="I85" i="173"/>
  <c r="I82" i="173"/>
  <c r="I83" i="173"/>
  <c r="I84" i="173"/>
  <c r="K96" i="173"/>
  <c r="K98" i="173"/>
  <c r="K99" i="173" s="1"/>
  <c r="K100" i="173" s="1"/>
  <c r="K81" i="168"/>
  <c r="K87" i="168" s="1"/>
  <c r="K81" i="167"/>
  <c r="K87" i="167" s="1"/>
  <c r="K81" i="177"/>
  <c r="K87" i="177" s="1"/>
  <c r="K81" i="176"/>
  <c r="K87" i="176" s="1"/>
  <c r="K81" i="175"/>
  <c r="K87" i="175" s="1"/>
  <c r="I85" i="169"/>
  <c r="I86" i="169"/>
  <c r="I82" i="169"/>
  <c r="I83" i="169"/>
  <c r="K96" i="169"/>
  <c r="I81" i="169"/>
  <c r="K98" i="169"/>
  <c r="K99" i="169" s="1"/>
  <c r="K100" i="169" s="1"/>
  <c r="I84" i="169"/>
  <c r="K81" i="165"/>
  <c r="K87" i="165" s="1"/>
  <c r="K81" i="164"/>
  <c r="K87" i="164" s="1"/>
  <c r="K81" i="160"/>
  <c r="K87" i="160" s="1"/>
  <c r="K81" i="157"/>
  <c r="K87" i="157" s="1"/>
  <c r="K81" i="174" l="1"/>
  <c r="K87" i="174" s="1"/>
  <c r="K81" i="170"/>
  <c r="K87" i="170" s="1"/>
  <c r="K81" i="173"/>
  <c r="K87" i="173" s="1"/>
  <c r="K81" i="169"/>
  <c r="K87" i="169" s="1"/>
  <c r="K10" i="155"/>
  <c r="K11" i="155" s="1"/>
  <c r="K104" i="155"/>
  <c r="K103" i="155"/>
  <c r="B94" i="155"/>
  <c r="B93" i="155"/>
  <c r="B92" i="155"/>
  <c r="B91" i="155"/>
  <c r="B90" i="155"/>
  <c r="K89" i="155"/>
  <c r="H81" i="155"/>
  <c r="K105" i="155" s="1"/>
  <c r="K76" i="155"/>
  <c r="J58" i="155"/>
  <c r="J57" i="155"/>
  <c r="J56" i="155"/>
  <c r="J55" i="155"/>
  <c r="J54" i="155"/>
  <c r="J50" i="155"/>
  <c r="J48" i="155"/>
  <c r="J46" i="155"/>
  <c r="J47" i="155" s="1"/>
  <c r="K32" i="155"/>
  <c r="K31" i="155"/>
  <c r="K30" i="155"/>
  <c r="J26" i="155"/>
  <c r="J28" i="155" s="1"/>
  <c r="J15" i="155"/>
  <c r="J16" i="155" s="1"/>
  <c r="E15" i="122"/>
  <c r="E14" i="122"/>
  <c r="E13" i="122"/>
  <c r="J49" i="155" l="1"/>
  <c r="J60" i="155"/>
  <c r="J61" i="155" s="1"/>
  <c r="K61" i="155" s="1"/>
  <c r="K49" i="155"/>
  <c r="K48" i="155"/>
  <c r="K33" i="155"/>
  <c r="K39" i="155" s="1"/>
  <c r="K43" i="155" s="1"/>
  <c r="K47" i="155"/>
  <c r="J51" i="155"/>
  <c r="K106" i="155"/>
  <c r="K58" i="155"/>
  <c r="K55" i="155"/>
  <c r="K50" i="155"/>
  <c r="K20" i="155"/>
  <c r="K59" i="155"/>
  <c r="K25" i="155"/>
  <c r="K14" i="155"/>
  <c r="K21" i="155"/>
  <c r="K57" i="155"/>
  <c r="K54" i="155"/>
  <c r="K46" i="155"/>
  <c r="K24" i="155"/>
  <c r="K22" i="155"/>
  <c r="K90" i="155"/>
  <c r="K23" i="155"/>
  <c r="K26" i="155"/>
  <c r="K64" i="155"/>
  <c r="K65" i="155" s="1"/>
  <c r="K68" i="155" s="1"/>
  <c r="K27" i="155"/>
  <c r="J17" i="155"/>
  <c r="K17" i="155" s="1"/>
  <c r="K56" i="155"/>
  <c r="K15" i="155"/>
  <c r="J18" i="155" l="1"/>
  <c r="K51" i="155"/>
  <c r="K92" i="155" s="1"/>
  <c r="K16" i="155"/>
  <c r="K18" i="155" s="1"/>
  <c r="K41" i="155" s="1"/>
  <c r="K60" i="155"/>
  <c r="K62" i="155" s="1"/>
  <c r="K28" i="155"/>
  <c r="K42" i="155" s="1"/>
  <c r="J62" i="155"/>
  <c r="K93" i="155" l="1"/>
  <c r="K67" i="155"/>
  <c r="K69" i="155" s="1"/>
  <c r="K44" i="155"/>
  <c r="K91" i="155" l="1"/>
  <c r="K75" i="155" l="1"/>
  <c r="K94" i="155" s="1"/>
  <c r="K95" i="155" s="1"/>
  <c r="K77" i="155" l="1"/>
  <c r="K78" i="155" s="1"/>
  <c r="I79" i="155" s="1"/>
  <c r="K97" i="155" l="1"/>
  <c r="K98" i="155" s="1"/>
  <c r="D17" i="45" s="1"/>
  <c r="I83" i="155" l="1"/>
  <c r="K96" i="155"/>
  <c r="I82" i="155"/>
  <c r="I84" i="155"/>
  <c r="I86" i="155"/>
  <c r="I81" i="155"/>
  <c r="K99" i="155"/>
  <c r="K100" i="155" s="1"/>
  <c r="I85" i="155"/>
  <c r="K81" i="155" l="1"/>
  <c r="K87" i="155" s="1"/>
  <c r="F18" i="45" l="1"/>
  <c r="G18" i="45" s="1"/>
  <c r="F19" i="45"/>
  <c r="G19" i="45" s="1"/>
  <c r="F20" i="45"/>
  <c r="G20" i="45" s="1"/>
  <c r="F21" i="45"/>
  <c r="G21" i="45" s="1"/>
  <c r="F22" i="45"/>
  <c r="G22" i="45" s="1"/>
  <c r="F23" i="45"/>
  <c r="G23" i="45" s="1"/>
  <c r="F24" i="45"/>
  <c r="G24" i="45" s="1"/>
  <c r="F25" i="45"/>
  <c r="G25" i="45" s="1"/>
  <c r="F17" i="45"/>
  <c r="G17" i="45" s="1"/>
  <c r="E11" i="122" l="1"/>
  <c r="G10" i="81" l="1"/>
  <c r="E8" i="122"/>
  <c r="D8" i="81" l="1"/>
  <c r="H8" i="81" s="1"/>
  <c r="D9" i="81" l="1"/>
  <c r="H9" i="81" s="1"/>
  <c r="E17" i="122" l="1"/>
  <c r="E12" i="122"/>
  <c r="E10" i="122" l="1"/>
  <c r="E9" i="122" l="1"/>
  <c r="E18" i="122" s="1"/>
  <c r="E19" i="122" s="1"/>
  <c r="E2" i="122"/>
  <c r="G2" i="122" s="1"/>
  <c r="G3" i="122" s="1"/>
  <c r="F8" i="81" l="1"/>
  <c r="J8" i="81" s="1"/>
  <c r="F9" i="81"/>
  <c r="J9" i="81" s="1"/>
  <c r="F7" i="81"/>
  <c r="E9" i="81"/>
  <c r="I9" i="81" s="1"/>
  <c r="E8" i="81"/>
  <c r="I8" i="81" s="1"/>
  <c r="E7" i="81"/>
  <c r="C24" i="122"/>
  <c r="D24" i="122" s="1"/>
  <c r="F24" i="122" s="1"/>
  <c r="G4" i="122"/>
  <c r="D7" i="81" l="1"/>
  <c r="F35" i="45" l="1"/>
  <c r="G35" i="45" l="1"/>
  <c r="E152" i="37"/>
  <c r="F147" i="37"/>
  <c r="F145" i="37"/>
  <c r="F143" i="37"/>
  <c r="F142" i="37"/>
  <c r="F141" i="37"/>
  <c r="F138" i="37"/>
  <c r="F137" i="37"/>
  <c r="F136" i="37"/>
  <c r="F135" i="37"/>
  <c r="F134" i="37"/>
  <c r="F133" i="37"/>
  <c r="F130" i="37"/>
  <c r="F129" i="37"/>
  <c r="F128" i="37"/>
  <c r="F127" i="37"/>
  <c r="F126" i="37"/>
  <c r="F125" i="37"/>
  <c r="D115" i="37"/>
  <c r="C117" i="37" s="1"/>
  <c r="D105" i="37"/>
  <c r="C107" i="37" s="1"/>
  <c r="G106" i="37" s="1"/>
  <c r="D95" i="37"/>
  <c r="G94" i="37" s="1"/>
  <c r="D90" i="37"/>
  <c r="C92" i="37" s="1"/>
  <c r="G91" i="37" s="1"/>
  <c r="D85" i="37"/>
  <c r="G84" i="37" s="1"/>
  <c r="H84" i="37"/>
  <c r="D71" i="37"/>
  <c r="C73" i="37" s="1"/>
  <c r="D66" i="37"/>
  <c r="C68" i="37" s="1"/>
  <c r="D61" i="37"/>
  <c r="D56" i="37"/>
  <c r="C58" i="37" s="1"/>
  <c r="D51" i="37"/>
  <c r="D46" i="37"/>
  <c r="C48" i="37" s="1"/>
  <c r="E45" i="37"/>
  <c r="D36" i="37"/>
  <c r="C38" i="37" s="1"/>
  <c r="D31" i="37"/>
  <c r="C33" i="37" s="1"/>
  <c r="D26" i="37"/>
  <c r="D21" i="37"/>
  <c r="C23" i="37" s="1"/>
  <c r="D16" i="37"/>
  <c r="E15" i="37"/>
  <c r="H89" i="37" s="1"/>
  <c r="E12" i="37"/>
  <c r="E17" i="37" s="1"/>
  <c r="D11" i="37"/>
  <c r="C13" i="37" s="1"/>
  <c r="C110" i="35"/>
  <c r="C109" i="35"/>
  <c r="C105" i="35"/>
  <c r="C104" i="35"/>
  <c r="C100" i="35"/>
  <c r="D99" i="35"/>
  <c r="E99" i="35" s="1"/>
  <c r="C99" i="35"/>
  <c r="D95" i="35"/>
  <c r="D105" i="35" s="1"/>
  <c r="E105" i="35" s="1"/>
  <c r="C95" i="35"/>
  <c r="D94" i="35"/>
  <c r="D104" i="35" s="1"/>
  <c r="E104" i="35" s="1"/>
  <c r="C94" i="35"/>
  <c r="C90" i="35"/>
  <c r="C89" i="35"/>
  <c r="C85" i="35"/>
  <c r="C84" i="35"/>
  <c r="C75" i="35"/>
  <c r="C74" i="35"/>
  <c r="C70" i="35"/>
  <c r="C69" i="35"/>
  <c r="D45" i="35"/>
  <c r="D55" i="35" s="1"/>
  <c r="D44" i="35"/>
  <c r="D54" i="35" s="1"/>
  <c r="D15" i="35"/>
  <c r="G15" i="35" s="1"/>
  <c r="D14" i="35"/>
  <c r="G14" i="35" s="1"/>
  <c r="D5" i="35"/>
  <c r="D10" i="35" s="1"/>
  <c r="C5" i="35"/>
  <c r="D4" i="35"/>
  <c r="D9" i="35" s="1"/>
  <c r="C4" i="35"/>
  <c r="J7" i="81"/>
  <c r="J10" i="81" s="1"/>
  <c r="J11" i="81" s="1"/>
  <c r="I7" i="81"/>
  <c r="I10" i="81" s="1"/>
  <c r="I11" i="81" s="1"/>
  <c r="H7" i="81"/>
  <c r="H10" i="81" s="1"/>
  <c r="H11" i="81" s="1"/>
  <c r="I118" i="26"/>
  <c r="I117" i="26"/>
  <c r="C109" i="26"/>
  <c r="C108" i="26"/>
  <c r="C107" i="26"/>
  <c r="C106" i="26"/>
  <c r="C105" i="26"/>
  <c r="L104" i="26"/>
  <c r="I95" i="26"/>
  <c r="I119" i="26" s="1"/>
  <c r="L90" i="26"/>
  <c r="J84" i="26"/>
  <c r="L82" i="26"/>
  <c r="L87" i="26" s="1"/>
  <c r="L109" i="26" s="1"/>
  <c r="K67" i="26"/>
  <c r="K66" i="26"/>
  <c r="K65" i="26"/>
  <c r="K64" i="26"/>
  <c r="K59" i="26"/>
  <c r="K54" i="26"/>
  <c r="L47" i="26"/>
  <c r="L43" i="26"/>
  <c r="C43" i="26"/>
  <c r="L42" i="26"/>
  <c r="C42" i="26"/>
  <c r="L41" i="26"/>
  <c r="C41" i="26"/>
  <c r="L40" i="26"/>
  <c r="C40" i="26"/>
  <c r="L39" i="26"/>
  <c r="C39" i="26"/>
  <c r="L38" i="26"/>
  <c r="C38" i="26"/>
  <c r="L37" i="26"/>
  <c r="L45" i="26" s="1"/>
  <c r="L50" i="26" s="1"/>
  <c r="C37" i="26"/>
  <c r="K32" i="26"/>
  <c r="K31" i="26"/>
  <c r="K23" i="26"/>
  <c r="L19" i="26"/>
  <c r="L10" i="26"/>
  <c r="L12" i="26" s="1"/>
  <c r="L7" i="26"/>
  <c r="L17" i="26" s="1"/>
  <c r="L30" i="26" s="1"/>
  <c r="B3" i="26"/>
  <c r="I118" i="21"/>
  <c r="I117" i="21"/>
  <c r="C109" i="21"/>
  <c r="C108" i="21"/>
  <c r="C107" i="21"/>
  <c r="C106" i="21"/>
  <c r="C105" i="21"/>
  <c r="L104" i="21"/>
  <c r="I95" i="21"/>
  <c r="I119" i="21" s="1"/>
  <c r="L90" i="21"/>
  <c r="J84" i="21"/>
  <c r="L82" i="21"/>
  <c r="L87" i="21" s="1"/>
  <c r="L109" i="21" s="1"/>
  <c r="K67" i="21"/>
  <c r="K66" i="21"/>
  <c r="K65" i="21"/>
  <c r="K64" i="21"/>
  <c r="K59" i="21"/>
  <c r="K54" i="21"/>
  <c r="L47" i="21"/>
  <c r="L43" i="21"/>
  <c r="C43" i="21"/>
  <c r="L42" i="21"/>
  <c r="C42" i="21"/>
  <c r="L41" i="21"/>
  <c r="C41" i="21"/>
  <c r="L40" i="21"/>
  <c r="C40" i="21"/>
  <c r="L39" i="21"/>
  <c r="C39" i="21"/>
  <c r="L38" i="21"/>
  <c r="C38" i="21"/>
  <c r="L37" i="21"/>
  <c r="L45" i="21" s="1"/>
  <c r="L50" i="21" s="1"/>
  <c r="C37" i="21"/>
  <c r="K32" i="21"/>
  <c r="K31" i="21"/>
  <c r="K23" i="21"/>
  <c r="L19" i="21"/>
  <c r="L7" i="21"/>
  <c r="L17" i="21" s="1"/>
  <c r="L33" i="21" s="1"/>
  <c r="B3" i="21"/>
  <c r="I118" i="19"/>
  <c r="I117" i="19"/>
  <c r="C109" i="19"/>
  <c r="C108" i="19"/>
  <c r="C107" i="19"/>
  <c r="C106" i="19"/>
  <c r="C105" i="19"/>
  <c r="L104" i="19"/>
  <c r="I95" i="19"/>
  <c r="I119" i="19" s="1"/>
  <c r="I120" i="19" s="1"/>
  <c r="L90" i="19"/>
  <c r="J84" i="19"/>
  <c r="L82" i="19"/>
  <c r="L87" i="19" s="1"/>
  <c r="L109" i="19" s="1"/>
  <c r="K67" i="19"/>
  <c r="K66" i="19"/>
  <c r="K65" i="19"/>
  <c r="K64" i="19"/>
  <c r="K59" i="19"/>
  <c r="K54" i="19"/>
  <c r="L47" i="19"/>
  <c r="L43" i="19"/>
  <c r="C43" i="19"/>
  <c r="L42" i="19"/>
  <c r="C42" i="19"/>
  <c r="L41" i="19"/>
  <c r="C41" i="19"/>
  <c r="L40" i="19"/>
  <c r="C40" i="19"/>
  <c r="L39" i="19"/>
  <c r="C39" i="19"/>
  <c r="L38" i="19"/>
  <c r="C38" i="19"/>
  <c r="L37" i="19"/>
  <c r="L45" i="19" s="1"/>
  <c r="L50" i="19" s="1"/>
  <c r="C37" i="19"/>
  <c r="K32" i="19"/>
  <c r="K31" i="19"/>
  <c r="K23" i="19"/>
  <c r="L19" i="19"/>
  <c r="L7" i="19"/>
  <c r="L17" i="19" s="1"/>
  <c r="B3" i="19"/>
  <c r="I118" i="18"/>
  <c r="I117" i="18"/>
  <c r="C109" i="18"/>
  <c r="C108" i="18"/>
  <c r="C107" i="18"/>
  <c r="C106" i="18"/>
  <c r="C105" i="18"/>
  <c r="L104" i="18"/>
  <c r="I95" i="18"/>
  <c r="I119" i="18" s="1"/>
  <c r="L90" i="18"/>
  <c r="J84" i="18"/>
  <c r="L82" i="18"/>
  <c r="L87" i="18" s="1"/>
  <c r="L109" i="18" s="1"/>
  <c r="K67" i="18"/>
  <c r="K66" i="18"/>
  <c r="K65" i="18"/>
  <c r="K64" i="18"/>
  <c r="K59" i="18"/>
  <c r="K54" i="18"/>
  <c r="L47" i="18"/>
  <c r="L43" i="18"/>
  <c r="C43" i="18"/>
  <c r="L42" i="18"/>
  <c r="C42" i="18"/>
  <c r="L41" i="18"/>
  <c r="C41" i="18"/>
  <c r="L40" i="18"/>
  <c r="C40" i="18"/>
  <c r="L39" i="18"/>
  <c r="C39" i="18"/>
  <c r="L38" i="18"/>
  <c r="C38" i="18"/>
  <c r="L37" i="18"/>
  <c r="L45" i="18" s="1"/>
  <c r="L50" i="18" s="1"/>
  <c r="C37" i="18"/>
  <c r="K32" i="18"/>
  <c r="K31" i="18"/>
  <c r="K23" i="18"/>
  <c r="L19" i="18"/>
  <c r="L7" i="18"/>
  <c r="L17" i="18" s="1"/>
  <c r="B3" i="18"/>
  <c r="I118" i="15"/>
  <c r="I117" i="15"/>
  <c r="C109" i="15"/>
  <c r="C108" i="15"/>
  <c r="C107" i="15"/>
  <c r="C106" i="15"/>
  <c r="C105" i="15"/>
  <c r="L104" i="15"/>
  <c r="I95" i="15"/>
  <c r="I119" i="15" s="1"/>
  <c r="L90" i="15"/>
  <c r="J84" i="15"/>
  <c r="L82" i="15"/>
  <c r="L87" i="15" s="1"/>
  <c r="L109" i="15" s="1"/>
  <c r="K67" i="15"/>
  <c r="K66" i="15"/>
  <c r="K65" i="15"/>
  <c r="K64" i="15"/>
  <c r="K59" i="15"/>
  <c r="K54" i="15"/>
  <c r="L47" i="15"/>
  <c r="L43" i="15"/>
  <c r="C43" i="15"/>
  <c r="L42" i="15"/>
  <c r="C42" i="15"/>
  <c r="L41" i="15"/>
  <c r="C41" i="15"/>
  <c r="L40" i="15"/>
  <c r="C40" i="15"/>
  <c r="L39" i="15"/>
  <c r="C39" i="15"/>
  <c r="L38" i="15"/>
  <c r="C38" i="15"/>
  <c r="L37" i="15"/>
  <c r="L45" i="15" s="1"/>
  <c r="L50" i="15" s="1"/>
  <c r="C37" i="15"/>
  <c r="K32" i="15"/>
  <c r="K31" i="15"/>
  <c r="K23" i="15"/>
  <c r="L19" i="15"/>
  <c r="L7" i="15"/>
  <c r="L17" i="15" s="1"/>
  <c r="L22" i="15" s="1"/>
  <c r="B3" i="15"/>
  <c r="I118" i="14"/>
  <c r="I117" i="14"/>
  <c r="C109" i="14"/>
  <c r="C108" i="14"/>
  <c r="C107" i="14"/>
  <c r="C106" i="14"/>
  <c r="C105" i="14"/>
  <c r="L104" i="14"/>
  <c r="I95" i="14"/>
  <c r="I119" i="14" s="1"/>
  <c r="L90" i="14"/>
  <c r="J84" i="14"/>
  <c r="L82" i="14"/>
  <c r="L87" i="14" s="1"/>
  <c r="L109" i="14" s="1"/>
  <c r="K67" i="14"/>
  <c r="K66" i="14"/>
  <c r="K65" i="14"/>
  <c r="K64" i="14"/>
  <c r="K59" i="14"/>
  <c r="K54" i="14"/>
  <c r="L47" i="14"/>
  <c r="L43" i="14"/>
  <c r="C43" i="14"/>
  <c r="L42" i="14"/>
  <c r="C42" i="14"/>
  <c r="L41" i="14"/>
  <c r="C41" i="14"/>
  <c r="L40" i="14"/>
  <c r="C40" i="14"/>
  <c r="L39" i="14"/>
  <c r="C39" i="14"/>
  <c r="L38" i="14"/>
  <c r="C38" i="14"/>
  <c r="L37" i="14"/>
  <c r="L45" i="14" s="1"/>
  <c r="L50" i="14" s="1"/>
  <c r="C37" i="14"/>
  <c r="K32" i="14"/>
  <c r="K31" i="14"/>
  <c r="K23" i="14"/>
  <c r="L19" i="14"/>
  <c r="L7" i="14"/>
  <c r="L17" i="14" s="1"/>
  <c r="B3" i="14"/>
  <c r="I118" i="4"/>
  <c r="I117" i="4"/>
  <c r="C109" i="4"/>
  <c r="C108" i="4"/>
  <c r="C107" i="4"/>
  <c r="C106" i="4"/>
  <c r="C105" i="4"/>
  <c r="L104" i="4"/>
  <c r="I95" i="4"/>
  <c r="I119" i="4" s="1"/>
  <c r="L90" i="4"/>
  <c r="J84" i="4"/>
  <c r="L82" i="4"/>
  <c r="L87" i="4" s="1"/>
  <c r="L109" i="4" s="1"/>
  <c r="K67" i="4"/>
  <c r="K66" i="4"/>
  <c r="K65" i="4"/>
  <c r="K64" i="4"/>
  <c r="K59" i="4"/>
  <c r="K54" i="4"/>
  <c r="L47" i="4"/>
  <c r="L43" i="4"/>
  <c r="C43" i="4"/>
  <c r="L42" i="4"/>
  <c r="C42" i="4"/>
  <c r="L41" i="4"/>
  <c r="C41" i="4"/>
  <c r="L40" i="4"/>
  <c r="C40" i="4"/>
  <c r="L39" i="4"/>
  <c r="C39" i="4"/>
  <c r="L38" i="4"/>
  <c r="C38" i="4"/>
  <c r="L37" i="4"/>
  <c r="L45" i="4" s="1"/>
  <c r="L50" i="4" s="1"/>
  <c r="C37" i="4"/>
  <c r="K32" i="4"/>
  <c r="K31" i="4"/>
  <c r="K23" i="4"/>
  <c r="L19" i="4"/>
  <c r="L7" i="4"/>
  <c r="L17" i="4" s="1"/>
  <c r="B3" i="4"/>
  <c r="I118" i="13"/>
  <c r="I117" i="13"/>
  <c r="C109" i="13"/>
  <c r="C108" i="13"/>
  <c r="C107" i="13"/>
  <c r="C106" i="13"/>
  <c r="C105" i="13"/>
  <c r="L104" i="13"/>
  <c r="I95" i="13"/>
  <c r="I119" i="13" s="1"/>
  <c r="L90" i="13"/>
  <c r="J84" i="13"/>
  <c r="L82" i="13"/>
  <c r="L87" i="13" s="1"/>
  <c r="L109" i="13" s="1"/>
  <c r="K67" i="13"/>
  <c r="K66" i="13"/>
  <c r="K65" i="13"/>
  <c r="K64" i="13"/>
  <c r="K59" i="13"/>
  <c r="K54" i="13"/>
  <c r="L47" i="13"/>
  <c r="L43" i="13"/>
  <c r="C43" i="13"/>
  <c r="L42" i="13"/>
  <c r="C42" i="13"/>
  <c r="L41" i="13"/>
  <c r="C41" i="13"/>
  <c r="L40" i="13"/>
  <c r="C40" i="13"/>
  <c r="L39" i="13"/>
  <c r="C39" i="13"/>
  <c r="L38" i="13"/>
  <c r="C38" i="13"/>
  <c r="L37" i="13"/>
  <c r="L45" i="13" s="1"/>
  <c r="L50" i="13" s="1"/>
  <c r="C37" i="13"/>
  <c r="K32" i="13"/>
  <c r="K31" i="13"/>
  <c r="K23" i="13"/>
  <c r="L19" i="13"/>
  <c r="L7" i="13"/>
  <c r="L17" i="13" s="1"/>
  <c r="B3" i="13"/>
  <c r="AI2" i="27"/>
  <c r="AH2" i="27"/>
  <c r="AG2" i="27"/>
  <c r="AF2" i="27"/>
  <c r="AE2" i="27"/>
  <c r="AD2" i="27"/>
  <c r="AC2" i="27"/>
  <c r="AB2" i="27"/>
  <c r="AA2" i="27"/>
  <c r="Z2" i="27"/>
  <c r="Y2" i="27"/>
  <c r="X2" i="27"/>
  <c r="W2" i="27"/>
  <c r="V2" i="27"/>
  <c r="U2" i="27"/>
  <c r="T2" i="27"/>
  <c r="S2" i="27"/>
  <c r="R2" i="27"/>
  <c r="Q2" i="27"/>
  <c r="P2" i="27"/>
  <c r="O2" i="27"/>
  <c r="N2" i="27"/>
  <c r="M2" i="27"/>
  <c r="L2" i="27"/>
  <c r="K2" i="27"/>
  <c r="J2" i="27"/>
  <c r="I2" i="27"/>
  <c r="H2" i="27"/>
  <c r="G2" i="27"/>
  <c r="F2" i="27"/>
  <c r="E2" i="27"/>
  <c r="D2" i="27"/>
  <c r="K55" i="4" l="1"/>
  <c r="G104" i="35"/>
  <c r="K55" i="26"/>
  <c r="K56" i="26" s="1"/>
  <c r="L56" i="26" s="1"/>
  <c r="L22" i="21"/>
  <c r="L21" i="15"/>
  <c r="L23" i="15" s="1"/>
  <c r="L48" i="15" s="1"/>
  <c r="L51" i="15" s="1"/>
  <c r="L106" i="15" s="1"/>
  <c r="I120" i="26"/>
  <c r="I120" i="14"/>
  <c r="L65" i="26"/>
  <c r="L33" i="15"/>
  <c r="L67" i="14"/>
  <c r="L64" i="15"/>
  <c r="L70" i="15" s="1"/>
  <c r="L77" i="15" s="1"/>
  <c r="L79" i="15" s="1"/>
  <c r="L108" i="15" s="1"/>
  <c r="L54" i="4"/>
  <c r="L60" i="4" s="1"/>
  <c r="L107" i="4" s="1"/>
  <c r="L54" i="21"/>
  <c r="L60" i="21" s="1"/>
  <c r="L107" i="21" s="1"/>
  <c r="L66" i="26"/>
  <c r="L32" i="4"/>
  <c r="L59" i="14"/>
  <c r="L59" i="21"/>
  <c r="L26" i="26"/>
  <c r="L34" i="26" s="1"/>
  <c r="L49" i="26" s="1"/>
  <c r="K34" i="4"/>
  <c r="K58" i="4" s="1"/>
  <c r="L58" i="4" s="1"/>
  <c r="L67" i="15"/>
  <c r="L64" i="21"/>
  <c r="L70" i="21" s="1"/>
  <c r="L77" i="21" s="1"/>
  <c r="L79" i="21" s="1"/>
  <c r="L108" i="21" s="1"/>
  <c r="L54" i="15"/>
  <c r="L60" i="15" s="1"/>
  <c r="L107" i="15" s="1"/>
  <c r="L59" i="26"/>
  <c r="L54" i="13"/>
  <c r="L60" i="13" s="1"/>
  <c r="L107" i="13" s="1"/>
  <c r="L29" i="13"/>
  <c r="L26" i="13"/>
  <c r="L34" i="13" s="1"/>
  <c r="L49" i="13" s="1"/>
  <c r="L57" i="13"/>
  <c r="L105" i="13"/>
  <c r="L110" i="13" s="1"/>
  <c r="L91" i="13" s="1"/>
  <c r="L66" i="13"/>
  <c r="L21" i="13"/>
  <c r="L23" i="13" s="1"/>
  <c r="L48" i="13" s="1"/>
  <c r="L51" i="13" s="1"/>
  <c r="L106" i="13" s="1"/>
  <c r="L55" i="4"/>
  <c r="K56" i="4"/>
  <c r="L56" i="4" s="1"/>
  <c r="L32" i="13"/>
  <c r="L29" i="4"/>
  <c r="L30" i="4"/>
  <c r="L26" i="4"/>
  <c r="L34" i="4" s="1"/>
  <c r="L76" i="4" s="1"/>
  <c r="L21" i="4"/>
  <c r="L23" i="4" s="1"/>
  <c r="L48" i="4" s="1"/>
  <c r="L51" i="4" s="1"/>
  <c r="L106" i="4" s="1"/>
  <c r="L67" i="13"/>
  <c r="L64" i="13"/>
  <c r="L70" i="13" s="1"/>
  <c r="L77" i="13" s="1"/>
  <c r="L79" i="13" s="1"/>
  <c r="L108" i="13" s="1"/>
  <c r="I120" i="13"/>
  <c r="L59" i="4"/>
  <c r="L54" i="14"/>
  <c r="L60" i="14" s="1"/>
  <c r="L107" i="14" s="1"/>
  <c r="L59" i="15"/>
  <c r="I120" i="18"/>
  <c r="L21" i="21"/>
  <c r="L23" i="21" s="1"/>
  <c r="L48" i="21" s="1"/>
  <c r="L51" i="21" s="1"/>
  <c r="L106" i="21" s="1"/>
  <c r="L59" i="13"/>
  <c r="L66" i="15"/>
  <c r="G105" i="35"/>
  <c r="G106" i="35" s="1"/>
  <c r="E20" i="37"/>
  <c r="L65" i="4"/>
  <c r="L67" i="4"/>
  <c r="L66" i="21"/>
  <c r="I120" i="4"/>
  <c r="I120" i="15"/>
  <c r="L67" i="21"/>
  <c r="I120" i="21"/>
  <c r="L31" i="26"/>
  <c r="I84" i="37"/>
  <c r="L68" i="19"/>
  <c r="L30" i="19"/>
  <c r="L73" i="19"/>
  <c r="L74" i="19" s="1"/>
  <c r="L78" i="19" s="1"/>
  <c r="L27" i="19"/>
  <c r="L65" i="19"/>
  <c r="L29" i="19"/>
  <c r="L21" i="19"/>
  <c r="L23" i="19" s="1"/>
  <c r="L48" i="19" s="1"/>
  <c r="L51" i="19" s="1"/>
  <c r="L106" i="19" s="1"/>
  <c r="L57" i="19"/>
  <c r="L105" i="19"/>
  <c r="L110" i="19" s="1"/>
  <c r="L22" i="19"/>
  <c r="L64" i="19"/>
  <c r="L70" i="19" s="1"/>
  <c r="L77" i="19" s="1"/>
  <c r="L79" i="19" s="1"/>
  <c r="L108" i="19" s="1"/>
  <c r="L69" i="19"/>
  <c r="L28" i="19"/>
  <c r="L33" i="19"/>
  <c r="L26" i="19"/>
  <c r="L34" i="19" s="1"/>
  <c r="L32" i="19"/>
  <c r="L67" i="19"/>
  <c r="L54" i="19"/>
  <c r="L60" i="19" s="1"/>
  <c r="L107" i="19" s="1"/>
  <c r="L59" i="19"/>
  <c r="L73" i="14"/>
  <c r="L74" i="14" s="1"/>
  <c r="L78" i="14" s="1"/>
  <c r="L27" i="14"/>
  <c r="L68" i="14"/>
  <c r="L30" i="14"/>
  <c r="L65" i="14"/>
  <c r="L29" i="14"/>
  <c r="L21" i="14"/>
  <c r="L23" i="14" s="1"/>
  <c r="L48" i="14" s="1"/>
  <c r="L51" i="14" s="1"/>
  <c r="L106" i="14" s="1"/>
  <c r="L57" i="14"/>
  <c r="L105" i="14"/>
  <c r="L110" i="14" s="1"/>
  <c r="L22" i="14"/>
  <c r="L64" i="14"/>
  <c r="L70" i="14" s="1"/>
  <c r="L77" i="14" s="1"/>
  <c r="L79" i="14" s="1"/>
  <c r="L108" i="14" s="1"/>
  <c r="L69" i="14"/>
  <c r="L28" i="14"/>
  <c r="L33" i="14"/>
  <c r="L26" i="14"/>
  <c r="L34" i="14" s="1"/>
  <c r="L32" i="14"/>
  <c r="L73" i="18"/>
  <c r="L74" i="18" s="1"/>
  <c r="L78" i="18" s="1"/>
  <c r="L27" i="18"/>
  <c r="L68" i="18"/>
  <c r="L30" i="18"/>
  <c r="L105" i="18"/>
  <c r="L110" i="18" s="1"/>
  <c r="L26" i="18"/>
  <c r="L34" i="18" s="1"/>
  <c r="L33" i="18"/>
  <c r="L66" i="18"/>
  <c r="L22" i="13"/>
  <c r="K55" i="13"/>
  <c r="K34" i="13"/>
  <c r="K58" i="13" s="1"/>
  <c r="L58" i="13" s="1"/>
  <c r="L31" i="13"/>
  <c r="L65" i="13"/>
  <c r="L73" i="13"/>
  <c r="L74" i="13" s="1"/>
  <c r="L78" i="13" s="1"/>
  <c r="L68" i="15"/>
  <c r="L30" i="15"/>
  <c r="L73" i="15"/>
  <c r="L74" i="15" s="1"/>
  <c r="L78" i="15" s="1"/>
  <c r="L27" i="15"/>
  <c r="L69" i="15"/>
  <c r="L32" i="15"/>
  <c r="L26" i="15"/>
  <c r="L34" i="15" s="1"/>
  <c r="L28" i="15"/>
  <c r="L28" i="18"/>
  <c r="L59" i="18"/>
  <c r="L73" i="21"/>
  <c r="L74" i="21" s="1"/>
  <c r="L78" i="21" s="1"/>
  <c r="L27" i="21"/>
  <c r="L68" i="21"/>
  <c r="L30" i="21"/>
  <c r="L69" i="21"/>
  <c r="L32" i="21"/>
  <c r="L26" i="21"/>
  <c r="L34" i="21" s="1"/>
  <c r="L28" i="21"/>
  <c r="L69" i="26"/>
  <c r="L57" i="26"/>
  <c r="L28" i="26"/>
  <c r="L21" i="26"/>
  <c r="L23" i="26" s="1"/>
  <c r="L48" i="26" s="1"/>
  <c r="L51" i="26" s="1"/>
  <c r="L106" i="26" s="1"/>
  <c r="L68" i="26"/>
  <c r="L64" i="26"/>
  <c r="L70" i="26" s="1"/>
  <c r="L77" i="26" s="1"/>
  <c r="L79" i="26" s="1"/>
  <c r="L108" i="26" s="1"/>
  <c r="L29" i="26"/>
  <c r="L67" i="26"/>
  <c r="L33" i="26"/>
  <c r="L27" i="26"/>
  <c r="L22" i="26"/>
  <c r="L32" i="26"/>
  <c r="K34" i="26"/>
  <c r="K58" i="26" s="1"/>
  <c r="L58" i="26" s="1"/>
  <c r="L54" i="26"/>
  <c r="L60" i="26" s="1"/>
  <c r="L107" i="26" s="1"/>
  <c r="L73" i="4"/>
  <c r="L74" i="4" s="1"/>
  <c r="L78" i="4" s="1"/>
  <c r="L27" i="4"/>
  <c r="L105" i="4"/>
  <c r="L110" i="4" s="1"/>
  <c r="L68" i="4"/>
  <c r="L57" i="4"/>
  <c r="L28" i="4"/>
  <c r="L33" i="4"/>
  <c r="L64" i="4"/>
  <c r="L70" i="4" s="1"/>
  <c r="L77" i="4" s="1"/>
  <c r="L79" i="4" s="1"/>
  <c r="L108" i="4" s="1"/>
  <c r="L69" i="4"/>
  <c r="L29" i="15"/>
  <c r="L21" i="18"/>
  <c r="L23" i="18" s="1"/>
  <c r="L48" i="18" s="1"/>
  <c r="L51" i="18" s="1"/>
  <c r="L106" i="18" s="1"/>
  <c r="L29" i="18"/>
  <c r="L54" i="18"/>
  <c r="L60" i="18" s="1"/>
  <c r="L107" i="18" s="1"/>
  <c r="L67" i="18"/>
  <c r="L29" i="21"/>
  <c r="L105" i="21"/>
  <c r="L110" i="21" s="1"/>
  <c r="L9" i="26"/>
  <c r="L11" i="26" s="1"/>
  <c r="L13" i="26" s="1"/>
  <c r="L55" i="26"/>
  <c r="L73" i="26"/>
  <c r="L74" i="26" s="1"/>
  <c r="L78" i="26" s="1"/>
  <c r="K55" i="14"/>
  <c r="K34" i="14"/>
  <c r="K58" i="14" s="1"/>
  <c r="L58" i="14" s="1"/>
  <c r="K55" i="15"/>
  <c r="K34" i="15"/>
  <c r="K58" i="15" s="1"/>
  <c r="L58" i="15" s="1"/>
  <c r="L83" i="15"/>
  <c r="L84" i="15" s="1"/>
  <c r="L22" i="18"/>
  <c r="K55" i="18"/>
  <c r="K34" i="18"/>
  <c r="K58" i="18" s="1"/>
  <c r="L58" i="18" s="1"/>
  <c r="L31" i="18"/>
  <c r="L64" i="18"/>
  <c r="L70" i="18" s="1"/>
  <c r="L77" i="18" s="1"/>
  <c r="L79" i="18" s="1"/>
  <c r="L108" i="18" s="1"/>
  <c r="L69" i="18"/>
  <c r="K55" i="19"/>
  <c r="K34" i="19"/>
  <c r="K58" i="19" s="1"/>
  <c r="L58" i="19" s="1"/>
  <c r="K55" i="21"/>
  <c r="K34" i="21"/>
  <c r="K58" i="21" s="1"/>
  <c r="L58" i="21" s="1"/>
  <c r="L76" i="26"/>
  <c r="L68" i="13"/>
  <c r="L30" i="13"/>
  <c r="L69" i="13"/>
  <c r="L27" i="13"/>
  <c r="L33" i="13"/>
  <c r="L31" i="14"/>
  <c r="L31" i="15"/>
  <c r="L105" i="15"/>
  <c r="L110" i="15" s="1"/>
  <c r="L31" i="19"/>
  <c r="L31" i="21"/>
  <c r="L28" i="13"/>
  <c r="L22" i="4"/>
  <c r="L31" i="4"/>
  <c r="L66" i="4"/>
  <c r="L66" i="14"/>
  <c r="L57" i="15"/>
  <c r="L65" i="15"/>
  <c r="L32" i="18"/>
  <c r="L57" i="18"/>
  <c r="L65" i="18"/>
  <c r="L66" i="19"/>
  <c r="L57" i="21"/>
  <c r="L65" i="21"/>
  <c r="L105" i="26"/>
  <c r="L110" i="26" s="1"/>
  <c r="E50" i="37"/>
  <c r="G50" i="37" s="1"/>
  <c r="G15" i="37"/>
  <c r="G99" i="35"/>
  <c r="C97" i="37"/>
  <c r="G96" i="37" s="1"/>
  <c r="G10" i="37"/>
  <c r="G20" i="37"/>
  <c r="G45" i="37"/>
  <c r="E95" i="35"/>
  <c r="G95" i="35" s="1"/>
  <c r="H86" i="37"/>
  <c r="C87" i="37"/>
  <c r="G86" i="37" s="1"/>
  <c r="E52" i="37"/>
  <c r="H91" i="37"/>
  <c r="I91" i="37" s="1"/>
  <c r="E22" i="37"/>
  <c r="C18" i="37"/>
  <c r="G17" i="37" s="1"/>
  <c r="C53" i="37"/>
  <c r="C28" i="37"/>
  <c r="C63" i="37"/>
  <c r="E47" i="37"/>
  <c r="G47" i="37" s="1"/>
  <c r="G89" i="37"/>
  <c r="I89" i="37" s="1"/>
  <c r="G104" i="37"/>
  <c r="G12" i="37"/>
  <c r="G4" i="35"/>
  <c r="E94" i="35"/>
  <c r="G94" i="35" s="1"/>
  <c r="E45" i="35"/>
  <c r="G45" i="35" s="1"/>
  <c r="G9" i="35"/>
  <c r="D24" i="35"/>
  <c r="E54" i="35"/>
  <c r="G54" i="35" s="1"/>
  <c r="D64" i="35"/>
  <c r="E64" i="35" s="1"/>
  <c r="G64" i="35" s="1"/>
  <c r="E55" i="35"/>
  <c r="G55" i="35" s="1"/>
  <c r="D65" i="35"/>
  <c r="E65" i="35" s="1"/>
  <c r="G65" i="35" s="1"/>
  <c r="D25" i="35"/>
  <c r="G10" i="35"/>
  <c r="G16" i="35"/>
  <c r="G5" i="35"/>
  <c r="D19" i="35"/>
  <c r="D20" i="35"/>
  <c r="E44" i="35"/>
  <c r="G44" i="35" s="1"/>
  <c r="D109" i="35"/>
  <c r="E109" i="35" s="1"/>
  <c r="G109" i="35" s="1"/>
  <c r="L76" i="13" l="1"/>
  <c r="L49" i="4"/>
  <c r="L92" i="13"/>
  <c r="J93" i="13" s="1"/>
  <c r="L112" i="13" s="1"/>
  <c r="L83" i="4"/>
  <c r="L84" i="4" s="1"/>
  <c r="I86" i="37"/>
  <c r="I88" i="37" s="1"/>
  <c r="D141" i="37" s="1"/>
  <c r="G141" i="37" s="1"/>
  <c r="G144" i="37" s="1"/>
  <c r="L83" i="26"/>
  <c r="L84" i="26" s="1"/>
  <c r="L83" i="21"/>
  <c r="L84" i="21" s="1"/>
  <c r="E25" i="37"/>
  <c r="E55" i="37"/>
  <c r="G55" i="37" s="1"/>
  <c r="H94" i="37"/>
  <c r="I94" i="37" s="1"/>
  <c r="L83" i="13"/>
  <c r="L84" i="13" s="1"/>
  <c r="L91" i="18"/>
  <c r="L92" i="18"/>
  <c r="J93" i="18" s="1"/>
  <c r="L112" i="18" s="1"/>
  <c r="L76" i="14"/>
  <c r="L49" i="14"/>
  <c r="L76" i="19"/>
  <c r="L49" i="19"/>
  <c r="L76" i="15"/>
  <c r="L49" i="15"/>
  <c r="K56" i="13"/>
  <c r="L56" i="13" s="1"/>
  <c r="L55" i="13"/>
  <c r="L91" i="14"/>
  <c r="L92" i="14"/>
  <c r="J93" i="14" s="1"/>
  <c r="L112" i="14" s="1"/>
  <c r="L91" i="19"/>
  <c r="L92" i="19"/>
  <c r="L92" i="26"/>
  <c r="L91" i="26"/>
  <c r="K56" i="21"/>
  <c r="L56" i="21" s="1"/>
  <c r="L55" i="21"/>
  <c r="K56" i="15"/>
  <c r="L56" i="15" s="1"/>
  <c r="L55" i="15"/>
  <c r="L91" i="21"/>
  <c r="L92" i="21"/>
  <c r="G19" i="37"/>
  <c r="D126" i="37" s="1"/>
  <c r="G126" i="37" s="1"/>
  <c r="J99" i="13"/>
  <c r="J96" i="13"/>
  <c r="J100" i="13"/>
  <c r="J98" i="13"/>
  <c r="J97" i="13"/>
  <c r="L111" i="13"/>
  <c r="J95" i="13"/>
  <c r="L95" i="13" s="1"/>
  <c r="L101" i="13" s="1"/>
  <c r="L91" i="4"/>
  <c r="L92" i="4"/>
  <c r="L76" i="21"/>
  <c r="L49" i="21"/>
  <c r="K56" i="19"/>
  <c r="L56" i="19" s="1"/>
  <c r="L55" i="19"/>
  <c r="K56" i="18"/>
  <c r="L56" i="18" s="1"/>
  <c r="L55" i="18"/>
  <c r="K56" i="14"/>
  <c r="L56" i="14" s="1"/>
  <c r="L55" i="14"/>
  <c r="L83" i="14"/>
  <c r="L84" i="14" s="1"/>
  <c r="L83" i="19"/>
  <c r="L84" i="19" s="1"/>
  <c r="L91" i="15"/>
  <c r="L92" i="15"/>
  <c r="J93" i="15" s="1"/>
  <c r="L112" i="15" s="1"/>
  <c r="L83" i="18"/>
  <c r="L84" i="18" s="1"/>
  <c r="L76" i="18"/>
  <c r="L49" i="18"/>
  <c r="G49" i="37"/>
  <c r="D133" i="37" s="1"/>
  <c r="G133" i="37" s="1"/>
  <c r="G140" i="37" s="1"/>
  <c r="G6" i="35"/>
  <c r="G14" i="37"/>
  <c r="D125" i="37" s="1"/>
  <c r="G125" i="37" s="1"/>
  <c r="G132" i="37" s="1"/>
  <c r="G96" i="35"/>
  <c r="G46" i="35"/>
  <c r="H96" i="37"/>
  <c r="I96" i="37" s="1"/>
  <c r="I98" i="37" s="1"/>
  <c r="D143" i="37" s="1"/>
  <c r="G143" i="37" s="1"/>
  <c r="E57" i="37"/>
  <c r="G57" i="37" s="1"/>
  <c r="E27" i="37"/>
  <c r="G22" i="37"/>
  <c r="G24" i="37" s="1"/>
  <c r="D127" i="37" s="1"/>
  <c r="G127" i="37" s="1"/>
  <c r="G11" i="35"/>
  <c r="I93" i="37"/>
  <c r="D142" i="37" s="1"/>
  <c r="G142" i="37" s="1"/>
  <c r="G52" i="37"/>
  <c r="G54" i="37" s="1"/>
  <c r="D134" i="37" s="1"/>
  <c r="G134" i="37" s="1"/>
  <c r="D34" i="35"/>
  <c r="G19" i="35"/>
  <c r="G66" i="35"/>
  <c r="G56" i="35"/>
  <c r="G25" i="35"/>
  <c r="D30" i="35"/>
  <c r="D29" i="35"/>
  <c r="G24" i="35"/>
  <c r="G20" i="35"/>
  <c r="D35" i="35"/>
  <c r="J93" i="19" l="1"/>
  <c r="L112" i="19" s="1"/>
  <c r="J95" i="19" s="1"/>
  <c r="L95" i="19" s="1"/>
  <c r="L101" i="19" s="1"/>
  <c r="G59" i="37"/>
  <c r="D135" i="37" s="1"/>
  <c r="G135" i="37" s="1"/>
  <c r="J93" i="4"/>
  <c r="L112" i="4" s="1"/>
  <c r="L111" i="4" s="1"/>
  <c r="E60" i="37"/>
  <c r="G60" i="37" s="1"/>
  <c r="E65" i="37"/>
  <c r="G65" i="37" s="1"/>
  <c r="E30" i="37"/>
  <c r="H104" i="37"/>
  <c r="I104" i="37" s="1"/>
  <c r="G25" i="37"/>
  <c r="J93" i="21"/>
  <c r="L112" i="21" s="1"/>
  <c r="J100" i="21" s="1"/>
  <c r="J93" i="26"/>
  <c r="L112" i="26" s="1"/>
  <c r="J97" i="26" s="1"/>
  <c r="J99" i="15"/>
  <c r="L111" i="15"/>
  <c r="J96" i="15"/>
  <c r="J100" i="15"/>
  <c r="J97" i="15"/>
  <c r="J95" i="15"/>
  <c r="L95" i="15" s="1"/>
  <c r="L101" i="15" s="1"/>
  <c r="J98" i="15"/>
  <c r="L111" i="14"/>
  <c r="J96" i="14"/>
  <c r="J99" i="14"/>
  <c r="J95" i="14"/>
  <c r="L95" i="14" s="1"/>
  <c r="L101" i="14" s="1"/>
  <c r="J98" i="14"/>
  <c r="J97" i="14"/>
  <c r="J100" i="14"/>
  <c r="L111" i="18"/>
  <c r="J96" i="18"/>
  <c r="J99" i="18"/>
  <c r="J97" i="18"/>
  <c r="J95" i="18"/>
  <c r="L95" i="18" s="1"/>
  <c r="L101" i="18" s="1"/>
  <c r="J100" i="18"/>
  <c r="J98" i="18"/>
  <c r="J99" i="21"/>
  <c r="J97" i="21"/>
  <c r="L111" i="26"/>
  <c r="J97" i="4"/>
  <c r="J95" i="4"/>
  <c r="L95" i="4" s="1"/>
  <c r="L101" i="4" s="1"/>
  <c r="J100" i="4"/>
  <c r="J98" i="4"/>
  <c r="J99" i="19"/>
  <c r="L111" i="19"/>
  <c r="J96" i="19"/>
  <c r="J98" i="19"/>
  <c r="J97" i="19"/>
  <c r="H106" i="37"/>
  <c r="I106" i="37" s="1"/>
  <c r="E67" i="37"/>
  <c r="G67" i="37" s="1"/>
  <c r="E32" i="37"/>
  <c r="G27" i="37"/>
  <c r="E62" i="37"/>
  <c r="G62" i="37" s="1"/>
  <c r="G26" i="35"/>
  <c r="D40" i="35"/>
  <c r="G35" i="35"/>
  <c r="D84" i="35"/>
  <c r="G84" i="35" s="1"/>
  <c r="G29" i="35"/>
  <c r="G21" i="35"/>
  <c r="D85" i="35"/>
  <c r="G85" i="35" s="1"/>
  <c r="G30" i="35"/>
  <c r="G34" i="35"/>
  <c r="D39" i="35"/>
  <c r="J100" i="19" l="1"/>
  <c r="J95" i="21"/>
  <c r="L95" i="21" s="1"/>
  <c r="L101" i="21" s="1"/>
  <c r="J96" i="21"/>
  <c r="J99" i="4"/>
  <c r="J96" i="26"/>
  <c r="G29" i="37"/>
  <c r="D128" i="37" s="1"/>
  <c r="G128" i="37" s="1"/>
  <c r="J95" i="26"/>
  <c r="L95" i="26" s="1"/>
  <c r="L101" i="26" s="1"/>
  <c r="L111" i="21"/>
  <c r="J100" i="26"/>
  <c r="G64" i="37"/>
  <c r="D136" i="37" s="1"/>
  <c r="G136" i="37" s="1"/>
  <c r="I108" i="37"/>
  <c r="D145" i="37" s="1"/>
  <c r="G145" i="37" s="1"/>
  <c r="G146" i="37" s="1"/>
  <c r="J98" i="26"/>
  <c r="J96" i="4"/>
  <c r="J99" i="26"/>
  <c r="J98" i="21"/>
  <c r="G69" i="37"/>
  <c r="D137" i="37" s="1"/>
  <c r="G137" i="37" s="1"/>
  <c r="E35" i="37"/>
  <c r="G35" i="37" s="1"/>
  <c r="G30" i="37"/>
  <c r="E70" i="37"/>
  <c r="G36" i="35"/>
  <c r="G31" i="35"/>
  <c r="E72" i="37"/>
  <c r="E37" i="37"/>
  <c r="G37" i="37" s="1"/>
  <c r="G32" i="37"/>
  <c r="G39" i="35"/>
  <c r="D49" i="35"/>
  <c r="G86" i="35"/>
  <c r="D50" i="35"/>
  <c r="G40" i="35"/>
  <c r="G34" i="37" l="1"/>
  <c r="D129" i="37" s="1"/>
  <c r="G129" i="37" s="1"/>
  <c r="G39" i="37"/>
  <c r="D130" i="37" s="1"/>
  <c r="G130" i="37" s="1"/>
  <c r="G70" i="37"/>
  <c r="E114" i="37"/>
  <c r="G114" i="37" s="1"/>
  <c r="E116" i="37"/>
  <c r="G116" i="37" s="1"/>
  <c r="G72" i="37"/>
  <c r="D60" i="35"/>
  <c r="E50" i="35"/>
  <c r="G50" i="35" s="1"/>
  <c r="D59" i="35"/>
  <c r="E49" i="35"/>
  <c r="G49" i="35" s="1"/>
  <c r="G41" i="35"/>
  <c r="G74" i="37" l="1"/>
  <c r="D138" i="37" s="1"/>
  <c r="G138" i="37" s="1"/>
  <c r="G118" i="37"/>
  <c r="D147" i="37" s="1"/>
  <c r="G147" i="37" s="1"/>
  <c r="G148" i="37" s="1"/>
  <c r="G149" i="37" s="1"/>
  <c r="G151" i="37" s="1"/>
  <c r="G51" i="35"/>
  <c r="D79" i="35"/>
  <c r="D69" i="35"/>
  <c r="G59" i="35"/>
  <c r="D70" i="35"/>
  <c r="G60" i="35"/>
  <c r="D80" i="35"/>
  <c r="E156" i="37" l="1"/>
  <c r="E157" i="37" s="1"/>
  <c r="E70" i="35"/>
  <c r="G70" i="35" s="1"/>
  <c r="D75" i="35"/>
  <c r="E75" i="35" s="1"/>
  <c r="G75" i="35" s="1"/>
  <c r="D90" i="35"/>
  <c r="G80" i="35"/>
  <c r="G61" i="35"/>
  <c r="D74" i="35"/>
  <c r="E74" i="35" s="1"/>
  <c r="G74" i="35" s="1"/>
  <c r="E69" i="35"/>
  <c r="G69" i="35" s="1"/>
  <c r="D89" i="35"/>
  <c r="G89" i="35" s="1"/>
  <c r="G79" i="35"/>
  <c r="G71" i="35" l="1"/>
  <c r="G76" i="35"/>
  <c r="G81" i="35"/>
  <c r="G90" i="35"/>
  <c r="G91" i="35" s="1"/>
  <c r="D100" i="35"/>
  <c r="E100" i="35" l="1"/>
  <c r="G100" i="35" s="1"/>
  <c r="G101" i="35" s="1"/>
  <c r="D110" i="35"/>
  <c r="E110" i="35" s="1"/>
  <c r="G110" i="35" s="1"/>
  <c r="G111"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H32" authorId="0" shapeId="0" xr:uid="{00000000-0006-0000-0100-000001000000}">
      <text>
        <r>
          <rPr>
            <b/>
            <sz val="9"/>
            <color indexed="8"/>
            <rFont val="Segoe UI"/>
            <family val="2"/>
          </rPr>
          <t xml:space="preserve">Riscos Ambientais do Trabalho: 1%, 2% ou 3%
</t>
        </r>
      </text>
    </comment>
    <comment ref="J32" authorId="0" shapeId="0" xr:uid="{00000000-0006-0000-0100-000002000000}">
      <text>
        <r>
          <rPr>
            <b/>
            <sz val="9"/>
            <color indexed="8"/>
            <rFont val="Segoe UI"/>
            <family val="2"/>
          </rPr>
          <t>Fator Acidentário de Prevenção: 0,5 a 2.</t>
        </r>
      </text>
    </comment>
    <comment ref="I54" authorId="0" shapeId="0" xr:uid="{00000000-0006-0000-0100-000003000000}">
      <text>
        <r>
          <rPr>
            <b/>
            <sz val="9"/>
            <color indexed="8"/>
            <rFont val="Segoe UI"/>
            <family val="2"/>
          </rPr>
          <t>número de dias de indenização (33 = considerando 1 ano de tempo de serviço, sem completar 2 anos) - obs: acresce 3 meses a cada ano adicional completado.</t>
        </r>
      </text>
    </comment>
    <comment ref="J54" authorId="0" shapeId="0" xr:uid="{00000000-0006-0000-0100-000004000000}">
      <text>
        <r>
          <rPr>
            <b/>
            <sz val="9"/>
            <color indexed="8"/>
            <rFont val="Segoe UI"/>
            <family val="2"/>
          </rPr>
          <t>Percentual de funcionários demitidos por ano com API</t>
        </r>
      </text>
    </comment>
    <comment ref="I66" authorId="1" shapeId="0" xr:uid="{00000000-0006-0000-0100-000005000000}">
      <text>
        <r>
          <rPr>
            <b/>
            <sz val="8"/>
            <color indexed="81"/>
            <rFont val="Tahoma"/>
            <family val="2"/>
          </rPr>
          <t>Percentual de funcionários que se ausentam por licença paternidade no ano</t>
        </r>
        <r>
          <rPr>
            <sz val="8"/>
            <color indexed="81"/>
            <rFont val="Tahoma"/>
            <family val="2"/>
          </rPr>
          <t xml:space="preserve">
</t>
        </r>
      </text>
    </comment>
    <comment ref="J66" authorId="0" shapeId="0" xr:uid="{00000000-0006-0000-0100-000006000000}">
      <text>
        <r>
          <rPr>
            <b/>
            <sz val="9"/>
            <color indexed="8"/>
            <rFont val="Segoe UI"/>
            <family val="2"/>
          </rPr>
          <t>Dias licença paternidade</t>
        </r>
      </text>
    </comment>
    <comment ref="J68" authorId="0" shapeId="0" xr:uid="{00000000-0006-0000-0100-000007000000}">
      <text>
        <r>
          <rPr>
            <b/>
            <sz val="9"/>
            <color indexed="8"/>
            <rFont val="Segoe UI"/>
            <family val="2"/>
          </rPr>
          <t>Percentual de funcionários acidentados no 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H32" authorId="0" shapeId="0" xr:uid="{00000000-0006-0000-0200-000001000000}">
      <text>
        <r>
          <rPr>
            <b/>
            <sz val="9"/>
            <color indexed="8"/>
            <rFont val="Segoe UI"/>
            <family val="2"/>
          </rPr>
          <t xml:space="preserve">Riscos Ambientais do Trabalho: 1%, 2% ou 3%
</t>
        </r>
      </text>
    </comment>
    <comment ref="J32" authorId="0" shapeId="0" xr:uid="{00000000-0006-0000-0200-000002000000}">
      <text>
        <r>
          <rPr>
            <b/>
            <sz val="9"/>
            <color indexed="8"/>
            <rFont val="Segoe UI"/>
            <family val="2"/>
          </rPr>
          <t>Fator Acidentário de Prevenção: 0,5 a 2.</t>
        </r>
      </text>
    </comment>
    <comment ref="I54" authorId="0" shapeId="0" xr:uid="{00000000-0006-0000-0200-000003000000}">
      <text>
        <r>
          <rPr>
            <b/>
            <sz val="9"/>
            <color indexed="8"/>
            <rFont val="Segoe UI"/>
            <family val="2"/>
          </rPr>
          <t>número de dias de indenização (33 = considerando 1 ano de tempo de serviço, sem completar 2 anos) - obs: acresce 3 meses a cada ano adicional completado.</t>
        </r>
      </text>
    </comment>
    <comment ref="J54" authorId="0" shapeId="0" xr:uid="{00000000-0006-0000-0200-000004000000}">
      <text>
        <r>
          <rPr>
            <b/>
            <sz val="9"/>
            <color indexed="8"/>
            <rFont val="Segoe UI"/>
            <family val="2"/>
          </rPr>
          <t>Percentual de funcionários demitidos por ano com API</t>
        </r>
      </text>
    </comment>
    <comment ref="I66" authorId="1" shapeId="0" xr:uid="{00000000-0006-0000-0200-000005000000}">
      <text>
        <r>
          <rPr>
            <b/>
            <sz val="8"/>
            <color indexed="81"/>
            <rFont val="Tahoma"/>
            <family val="2"/>
          </rPr>
          <t>Percentual de funcionários que se ausentam por licença paternidade no ano</t>
        </r>
        <r>
          <rPr>
            <sz val="8"/>
            <color indexed="81"/>
            <rFont val="Tahoma"/>
            <family val="2"/>
          </rPr>
          <t xml:space="preserve">
</t>
        </r>
      </text>
    </comment>
    <comment ref="J66" authorId="0" shapeId="0" xr:uid="{00000000-0006-0000-0200-000006000000}">
      <text>
        <r>
          <rPr>
            <b/>
            <sz val="9"/>
            <color indexed="8"/>
            <rFont val="Segoe UI"/>
            <family val="2"/>
          </rPr>
          <t>Dias licença paternidade</t>
        </r>
      </text>
    </comment>
    <comment ref="J68" authorId="0" shapeId="0" xr:uid="{00000000-0006-0000-0200-000007000000}">
      <text>
        <r>
          <rPr>
            <b/>
            <sz val="9"/>
            <color indexed="8"/>
            <rFont val="Segoe UI"/>
            <family val="2"/>
          </rPr>
          <t>Percentual de funcionários acidentados no ano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H32" authorId="0" shapeId="0" xr:uid="{00000000-0006-0000-0300-000001000000}">
      <text>
        <r>
          <rPr>
            <b/>
            <sz val="9"/>
            <color indexed="8"/>
            <rFont val="Segoe UI"/>
            <family val="2"/>
          </rPr>
          <t xml:space="preserve">Riscos Ambientais do Trabalho: 1%, 2% ou 3%
</t>
        </r>
      </text>
    </comment>
    <comment ref="J32" authorId="0" shapeId="0" xr:uid="{00000000-0006-0000-0300-000002000000}">
      <text>
        <r>
          <rPr>
            <b/>
            <sz val="9"/>
            <color indexed="8"/>
            <rFont val="Segoe UI"/>
            <family val="2"/>
          </rPr>
          <t>Fator Acidentário de Prevenção: 0,5 a 2.</t>
        </r>
      </text>
    </comment>
    <comment ref="I54" authorId="0" shapeId="0" xr:uid="{00000000-0006-0000-0300-000003000000}">
      <text>
        <r>
          <rPr>
            <b/>
            <sz val="9"/>
            <color indexed="8"/>
            <rFont val="Segoe UI"/>
            <family val="2"/>
          </rPr>
          <t>número de dias de indenização (33 = considerando 1 ano de tempo de serviço, sem completar 2 anos) - obs: acresce 3 meses a cada ano adicional completado.</t>
        </r>
      </text>
    </comment>
    <comment ref="J54" authorId="0" shapeId="0" xr:uid="{00000000-0006-0000-0300-000004000000}">
      <text>
        <r>
          <rPr>
            <b/>
            <sz val="9"/>
            <color indexed="8"/>
            <rFont val="Segoe UI"/>
            <family val="2"/>
          </rPr>
          <t>Percentual de funcionários demitidos por ano com API</t>
        </r>
      </text>
    </comment>
    <comment ref="I66" authorId="1" shapeId="0" xr:uid="{00000000-0006-0000-0300-000005000000}">
      <text>
        <r>
          <rPr>
            <b/>
            <sz val="8"/>
            <color indexed="81"/>
            <rFont val="Tahoma"/>
            <family val="2"/>
          </rPr>
          <t>Percentual de funcionários que se ausentam por licença paternidade no ano</t>
        </r>
        <r>
          <rPr>
            <sz val="8"/>
            <color indexed="81"/>
            <rFont val="Tahoma"/>
            <family val="2"/>
          </rPr>
          <t xml:space="preserve">
</t>
        </r>
      </text>
    </comment>
    <comment ref="J66" authorId="0" shapeId="0" xr:uid="{00000000-0006-0000-0300-000006000000}">
      <text>
        <r>
          <rPr>
            <b/>
            <sz val="9"/>
            <color indexed="8"/>
            <rFont val="Segoe UI"/>
            <family val="2"/>
          </rPr>
          <t>Dias licença paternidade</t>
        </r>
      </text>
    </comment>
    <comment ref="J68" authorId="0" shapeId="0" xr:uid="{00000000-0006-0000-0300-000007000000}">
      <text>
        <r>
          <rPr>
            <b/>
            <sz val="9"/>
            <color indexed="8"/>
            <rFont val="Segoe UI"/>
            <family val="2"/>
          </rPr>
          <t>Percentual de funcionários acidentados no ano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H32" authorId="0" shapeId="0" xr:uid="{00000000-0006-0000-0400-000001000000}">
      <text>
        <r>
          <rPr>
            <b/>
            <sz val="9"/>
            <color indexed="8"/>
            <rFont val="Segoe UI"/>
            <family val="2"/>
          </rPr>
          <t xml:space="preserve">Riscos Ambientais do Trabalho: 1%, 2% ou 3%
</t>
        </r>
      </text>
    </comment>
    <comment ref="J32" authorId="0" shapeId="0" xr:uid="{00000000-0006-0000-0400-000002000000}">
      <text>
        <r>
          <rPr>
            <b/>
            <sz val="9"/>
            <color indexed="8"/>
            <rFont val="Segoe UI"/>
            <family val="2"/>
          </rPr>
          <t>Fator Acidentário de Prevenção: 0,5 a 2.</t>
        </r>
      </text>
    </comment>
    <comment ref="I54" authorId="0" shapeId="0" xr:uid="{00000000-0006-0000-0400-000003000000}">
      <text>
        <r>
          <rPr>
            <b/>
            <sz val="9"/>
            <color indexed="8"/>
            <rFont val="Segoe UI"/>
            <family val="2"/>
          </rPr>
          <t>número de dias de indenização (33 = considerando 1 ano de tempo de serviço, sem completar 2 anos) - obs: acresce 3 meses a cada ano adicional completado.</t>
        </r>
      </text>
    </comment>
    <comment ref="J54" authorId="0" shapeId="0" xr:uid="{00000000-0006-0000-0400-000004000000}">
      <text>
        <r>
          <rPr>
            <b/>
            <sz val="9"/>
            <color indexed="8"/>
            <rFont val="Segoe UI"/>
            <family val="2"/>
          </rPr>
          <t>Percentual de funcionários demitidos por ano com API</t>
        </r>
      </text>
    </comment>
    <comment ref="I66" authorId="1" shapeId="0" xr:uid="{00000000-0006-0000-0400-000005000000}">
      <text>
        <r>
          <rPr>
            <b/>
            <sz val="8"/>
            <color indexed="81"/>
            <rFont val="Tahoma"/>
            <family val="2"/>
          </rPr>
          <t>Percentual de funcionários que se ausentam por licença paternidade no ano</t>
        </r>
        <r>
          <rPr>
            <sz val="8"/>
            <color indexed="81"/>
            <rFont val="Tahoma"/>
            <family val="2"/>
          </rPr>
          <t xml:space="preserve">
</t>
        </r>
      </text>
    </comment>
    <comment ref="J66" authorId="0" shapeId="0" xr:uid="{00000000-0006-0000-0400-000006000000}">
      <text>
        <r>
          <rPr>
            <b/>
            <sz val="9"/>
            <color indexed="8"/>
            <rFont val="Segoe UI"/>
            <family val="2"/>
          </rPr>
          <t>Dias licença paternidade</t>
        </r>
      </text>
    </comment>
    <comment ref="J68" authorId="0" shapeId="0" xr:uid="{00000000-0006-0000-0400-000007000000}">
      <text>
        <r>
          <rPr>
            <b/>
            <sz val="9"/>
            <color indexed="8"/>
            <rFont val="Segoe UI"/>
            <family val="2"/>
          </rPr>
          <t>Percentual de funcionários acidentados no ano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H32" authorId="0" shapeId="0" xr:uid="{00000000-0006-0000-0500-000001000000}">
      <text>
        <r>
          <rPr>
            <b/>
            <sz val="9"/>
            <color indexed="8"/>
            <rFont val="Segoe UI"/>
            <family val="2"/>
          </rPr>
          <t xml:space="preserve">Riscos Ambientais do Trabalho: 1%, 2% ou 3%
</t>
        </r>
      </text>
    </comment>
    <comment ref="J32" authorId="0" shapeId="0" xr:uid="{00000000-0006-0000-0500-000002000000}">
      <text>
        <r>
          <rPr>
            <b/>
            <sz val="9"/>
            <color indexed="8"/>
            <rFont val="Segoe UI"/>
            <family val="2"/>
          </rPr>
          <t>Fator Acidentário de Prevenção: 0,5 a 2.</t>
        </r>
      </text>
    </comment>
    <comment ref="I54" authorId="0" shapeId="0" xr:uid="{00000000-0006-0000-0500-000003000000}">
      <text>
        <r>
          <rPr>
            <b/>
            <sz val="9"/>
            <color indexed="8"/>
            <rFont val="Segoe UI"/>
            <family val="2"/>
          </rPr>
          <t>número de dias de indenização (33 = considerando 1 ano de tempo de serviço, sem completar 2 anos) - obs: acresce 3 meses a cada ano adicional completado.</t>
        </r>
      </text>
    </comment>
    <comment ref="J54" authorId="0" shapeId="0" xr:uid="{00000000-0006-0000-0500-000004000000}">
      <text>
        <r>
          <rPr>
            <b/>
            <sz val="9"/>
            <color indexed="8"/>
            <rFont val="Segoe UI"/>
            <family val="2"/>
          </rPr>
          <t>Percentual de funcionários demitidos por ano com API</t>
        </r>
      </text>
    </comment>
    <comment ref="I66" authorId="1" shapeId="0" xr:uid="{00000000-0006-0000-0500-000005000000}">
      <text>
        <r>
          <rPr>
            <b/>
            <sz val="8"/>
            <color indexed="81"/>
            <rFont val="Tahoma"/>
            <family val="2"/>
          </rPr>
          <t>Percentual de funcionários que se ausentam por licença paternidade no ano</t>
        </r>
        <r>
          <rPr>
            <sz val="8"/>
            <color indexed="81"/>
            <rFont val="Tahoma"/>
            <family val="2"/>
          </rPr>
          <t xml:space="preserve">
</t>
        </r>
      </text>
    </comment>
    <comment ref="J66" authorId="0" shapeId="0" xr:uid="{00000000-0006-0000-0500-000006000000}">
      <text>
        <r>
          <rPr>
            <b/>
            <sz val="9"/>
            <color indexed="8"/>
            <rFont val="Segoe UI"/>
            <family val="2"/>
          </rPr>
          <t>Dias licença paternidade</t>
        </r>
      </text>
    </comment>
    <comment ref="J68" authorId="0" shapeId="0" xr:uid="{00000000-0006-0000-0500-000007000000}">
      <text>
        <r>
          <rPr>
            <b/>
            <sz val="9"/>
            <color indexed="8"/>
            <rFont val="Segoe UI"/>
            <family val="2"/>
          </rPr>
          <t>Percentual de funcionários acidentados no ano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H32" authorId="0" shapeId="0" xr:uid="{00000000-0006-0000-0600-000001000000}">
      <text>
        <r>
          <rPr>
            <b/>
            <sz val="9"/>
            <color indexed="8"/>
            <rFont val="Segoe UI"/>
            <family val="2"/>
          </rPr>
          <t xml:space="preserve">Riscos Ambientais do Trabalho: 1%, 2% ou 3%
</t>
        </r>
      </text>
    </comment>
    <comment ref="J32" authorId="0" shapeId="0" xr:uid="{00000000-0006-0000-0600-000002000000}">
      <text>
        <r>
          <rPr>
            <b/>
            <sz val="9"/>
            <color indexed="8"/>
            <rFont val="Segoe UI"/>
            <family val="2"/>
          </rPr>
          <t>Fator Acidentário de Prevenção: 0,5 a 2.</t>
        </r>
      </text>
    </comment>
    <comment ref="I54" authorId="0" shapeId="0" xr:uid="{00000000-0006-0000-0600-000003000000}">
      <text>
        <r>
          <rPr>
            <b/>
            <sz val="9"/>
            <color indexed="8"/>
            <rFont val="Segoe UI"/>
            <family val="2"/>
          </rPr>
          <t>número de dias de indenização (33 = considerando 1 ano de tempo de serviço, sem completar 2 anos) - obs: acresce 3 meses a cada ano adicional completado.</t>
        </r>
      </text>
    </comment>
    <comment ref="J54" authorId="0" shapeId="0" xr:uid="{00000000-0006-0000-0600-000004000000}">
      <text>
        <r>
          <rPr>
            <b/>
            <sz val="9"/>
            <color indexed="8"/>
            <rFont val="Segoe UI"/>
            <family val="2"/>
          </rPr>
          <t>Percentual de funcionários demitidos por ano com API</t>
        </r>
      </text>
    </comment>
    <comment ref="I66" authorId="1" shapeId="0" xr:uid="{00000000-0006-0000-0600-000005000000}">
      <text>
        <r>
          <rPr>
            <b/>
            <sz val="8"/>
            <color indexed="81"/>
            <rFont val="Tahoma"/>
            <family val="2"/>
          </rPr>
          <t>Percentual de funcionários que se ausentam por licença paternidade no ano</t>
        </r>
        <r>
          <rPr>
            <sz val="8"/>
            <color indexed="81"/>
            <rFont val="Tahoma"/>
            <family val="2"/>
          </rPr>
          <t xml:space="preserve">
</t>
        </r>
      </text>
    </comment>
    <comment ref="J66" authorId="0" shapeId="0" xr:uid="{00000000-0006-0000-0600-000006000000}">
      <text>
        <r>
          <rPr>
            <b/>
            <sz val="9"/>
            <color indexed="8"/>
            <rFont val="Segoe UI"/>
            <family val="2"/>
          </rPr>
          <t>Dias licença paternidade</t>
        </r>
      </text>
    </comment>
    <comment ref="J68" authorId="0" shapeId="0" xr:uid="{00000000-0006-0000-0600-000007000000}">
      <text>
        <r>
          <rPr>
            <b/>
            <sz val="9"/>
            <color indexed="8"/>
            <rFont val="Segoe UI"/>
            <family val="2"/>
          </rPr>
          <t>Percentual de funcionários acidentados no ano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H32" authorId="0" shapeId="0" xr:uid="{00000000-0006-0000-0700-000001000000}">
      <text>
        <r>
          <rPr>
            <b/>
            <sz val="9"/>
            <color indexed="8"/>
            <rFont val="Segoe UI"/>
            <family val="2"/>
          </rPr>
          <t xml:space="preserve">Riscos Ambientais do Trabalho: 1%, 2% ou 3%
</t>
        </r>
      </text>
    </comment>
    <comment ref="J32" authorId="0" shapeId="0" xr:uid="{00000000-0006-0000-0700-000002000000}">
      <text>
        <r>
          <rPr>
            <b/>
            <sz val="9"/>
            <color indexed="8"/>
            <rFont val="Segoe UI"/>
            <family val="2"/>
          </rPr>
          <t>Fator Acidentário de Prevenção: 0,5 a 2.</t>
        </r>
      </text>
    </comment>
    <comment ref="I54" authorId="0" shapeId="0" xr:uid="{00000000-0006-0000-0700-000003000000}">
      <text>
        <r>
          <rPr>
            <b/>
            <sz val="9"/>
            <color indexed="8"/>
            <rFont val="Segoe UI"/>
            <family val="2"/>
          </rPr>
          <t>número de dias de indenização (33 = considerando 1 ano de tempo de serviço, sem completar 2 anos) - obs: acresce 3 meses a cada ano adicional completado.</t>
        </r>
      </text>
    </comment>
    <comment ref="J54" authorId="0" shapeId="0" xr:uid="{00000000-0006-0000-0700-000004000000}">
      <text>
        <r>
          <rPr>
            <b/>
            <sz val="9"/>
            <color indexed="8"/>
            <rFont val="Segoe UI"/>
            <family val="2"/>
          </rPr>
          <t>Percentual de funcionários demitidos por ano com API</t>
        </r>
      </text>
    </comment>
    <comment ref="I66" authorId="1" shapeId="0" xr:uid="{00000000-0006-0000-0700-000005000000}">
      <text>
        <r>
          <rPr>
            <b/>
            <sz val="8"/>
            <color indexed="81"/>
            <rFont val="Tahoma"/>
            <family val="2"/>
          </rPr>
          <t>Percentual de funcionários que se ausentam por licença paternidade no ano</t>
        </r>
        <r>
          <rPr>
            <sz val="8"/>
            <color indexed="81"/>
            <rFont val="Tahoma"/>
            <family val="2"/>
          </rPr>
          <t xml:space="preserve">
</t>
        </r>
      </text>
    </comment>
    <comment ref="J66" authorId="0" shapeId="0" xr:uid="{00000000-0006-0000-0700-000006000000}">
      <text>
        <r>
          <rPr>
            <b/>
            <sz val="9"/>
            <color indexed="8"/>
            <rFont val="Segoe UI"/>
            <family val="2"/>
          </rPr>
          <t>Dias licença paternidade</t>
        </r>
      </text>
    </comment>
    <comment ref="J68" authorId="0" shapeId="0" xr:uid="{00000000-0006-0000-0700-000007000000}">
      <text>
        <r>
          <rPr>
            <b/>
            <sz val="9"/>
            <color indexed="8"/>
            <rFont val="Segoe UI"/>
            <family val="2"/>
          </rPr>
          <t>Percentual de funcionários acidentados no ano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H32" authorId="0" shapeId="0" xr:uid="{00000000-0006-0000-0800-000001000000}">
      <text>
        <r>
          <rPr>
            <b/>
            <sz val="9"/>
            <color indexed="8"/>
            <rFont val="Segoe UI"/>
            <family val="2"/>
          </rPr>
          <t xml:space="preserve">Riscos Ambientais do Trabalho: 1%, 2% ou 3%
</t>
        </r>
      </text>
    </comment>
    <comment ref="J32" authorId="0" shapeId="0" xr:uid="{00000000-0006-0000-0800-000002000000}">
      <text>
        <r>
          <rPr>
            <b/>
            <sz val="9"/>
            <color indexed="8"/>
            <rFont val="Segoe UI"/>
            <family val="2"/>
          </rPr>
          <t>Fator Acidentário de Prevenção: 0,5 a 2.</t>
        </r>
      </text>
    </comment>
    <comment ref="I54" authorId="0" shapeId="0" xr:uid="{00000000-0006-0000-0800-000003000000}">
      <text>
        <r>
          <rPr>
            <b/>
            <sz val="9"/>
            <color indexed="8"/>
            <rFont val="Segoe UI"/>
            <family val="2"/>
          </rPr>
          <t>número de dias de indenização (33 = considerando 1 ano de tempo de serviço, sem completar 2 anos) - obs: acresce 3 meses a cada ano adicional completado.</t>
        </r>
      </text>
    </comment>
    <comment ref="J54" authorId="0" shapeId="0" xr:uid="{00000000-0006-0000-0800-000004000000}">
      <text>
        <r>
          <rPr>
            <b/>
            <sz val="9"/>
            <color indexed="8"/>
            <rFont val="Segoe UI"/>
            <family val="2"/>
          </rPr>
          <t>Percentual de funcionários demitidos por ano com API</t>
        </r>
      </text>
    </comment>
    <comment ref="I66" authorId="1" shapeId="0" xr:uid="{00000000-0006-0000-0800-000005000000}">
      <text>
        <r>
          <rPr>
            <b/>
            <sz val="8"/>
            <color indexed="81"/>
            <rFont val="Tahoma"/>
            <family val="2"/>
          </rPr>
          <t>Percentual de funcionários que se ausentam por licença paternidade no ano</t>
        </r>
        <r>
          <rPr>
            <sz val="8"/>
            <color indexed="81"/>
            <rFont val="Tahoma"/>
            <family val="2"/>
          </rPr>
          <t xml:space="preserve">
</t>
        </r>
      </text>
    </comment>
    <comment ref="J66" authorId="0" shapeId="0" xr:uid="{00000000-0006-0000-0800-000006000000}">
      <text>
        <r>
          <rPr>
            <b/>
            <sz val="9"/>
            <color indexed="8"/>
            <rFont val="Segoe UI"/>
            <family val="2"/>
          </rPr>
          <t>Dias licença paternidade</t>
        </r>
      </text>
    </comment>
    <comment ref="J68" authorId="0" shapeId="0" xr:uid="{00000000-0006-0000-0800-000007000000}">
      <text>
        <r>
          <rPr>
            <b/>
            <sz val="9"/>
            <color indexed="8"/>
            <rFont val="Segoe UI"/>
            <family val="2"/>
          </rPr>
          <t>Percentual de funcionários acidentados no ano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0D00-000001000000}">
      <text>
        <r>
          <rPr>
            <b/>
            <sz val="9"/>
            <color indexed="8"/>
            <rFont val="Segoe UI"/>
            <family val="2"/>
          </rPr>
          <t xml:space="preserve">Riscos Ambientais do Trabalho: 1%, 2% ou 3%
</t>
        </r>
      </text>
    </comment>
    <comment ref="I26" authorId="0" shapeId="0" xr:uid="{00000000-0006-0000-0D00-000002000000}">
      <text>
        <r>
          <rPr>
            <b/>
            <sz val="9"/>
            <color indexed="8"/>
            <rFont val="Segoe UI"/>
            <family val="2"/>
          </rPr>
          <t>Fator Acidentário de Prevenção: 0,5 a 2.</t>
        </r>
      </text>
    </comment>
    <comment ref="H46" authorId="0" shapeId="0" xr:uid="{00000000-0006-0000-0D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0D00-000004000000}">
      <text>
        <r>
          <rPr>
            <b/>
            <sz val="9"/>
            <color indexed="8"/>
            <rFont val="Segoe UI"/>
            <family val="2"/>
          </rPr>
          <t>Percentual de funcionários demitidos por ano com API</t>
        </r>
      </text>
    </comment>
    <comment ref="H56" authorId="1" shapeId="0" xr:uid="{00000000-0006-0000-0D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0D00-000006000000}">
      <text>
        <r>
          <rPr>
            <b/>
            <sz val="9"/>
            <color indexed="8"/>
            <rFont val="Segoe UI"/>
            <family val="2"/>
          </rPr>
          <t>Dias licença paternidade</t>
        </r>
      </text>
    </comment>
    <comment ref="I58" authorId="0" shapeId="0" xr:uid="{00000000-0006-0000-0D00-000007000000}">
      <text>
        <r>
          <rPr>
            <b/>
            <sz val="9"/>
            <color indexed="8"/>
            <rFont val="Segoe UI"/>
            <family val="2"/>
          </rPr>
          <t>Percentual de funcionários acidentados no ano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0E00-000001000000}">
      <text>
        <r>
          <rPr>
            <b/>
            <sz val="9"/>
            <color indexed="8"/>
            <rFont val="Segoe UI"/>
            <family val="2"/>
          </rPr>
          <t xml:space="preserve">Riscos Ambientais do Trabalho: 1%, 2% ou 3%
</t>
        </r>
      </text>
    </comment>
    <comment ref="I26" authorId="0" shapeId="0" xr:uid="{00000000-0006-0000-0E00-000002000000}">
      <text>
        <r>
          <rPr>
            <b/>
            <sz val="9"/>
            <color indexed="8"/>
            <rFont val="Segoe UI"/>
            <family val="2"/>
          </rPr>
          <t>Fator Acidentário de Prevenção: 0,5 a 2.</t>
        </r>
      </text>
    </comment>
    <comment ref="H46" authorId="0" shapeId="0" xr:uid="{00000000-0006-0000-0E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0E00-000004000000}">
      <text>
        <r>
          <rPr>
            <b/>
            <sz val="9"/>
            <color indexed="8"/>
            <rFont val="Segoe UI"/>
            <family val="2"/>
          </rPr>
          <t>Percentual de funcionários demitidos por ano com API</t>
        </r>
      </text>
    </comment>
    <comment ref="H56" authorId="1" shapeId="0" xr:uid="{00000000-0006-0000-0E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0E00-000006000000}">
      <text>
        <r>
          <rPr>
            <b/>
            <sz val="9"/>
            <color indexed="8"/>
            <rFont val="Segoe UI"/>
            <family val="2"/>
          </rPr>
          <t>Dias licença paternidade</t>
        </r>
      </text>
    </comment>
    <comment ref="I58" authorId="0" shapeId="0" xr:uid="{00000000-0006-0000-0E00-000007000000}">
      <text>
        <r>
          <rPr>
            <b/>
            <sz val="9"/>
            <color indexed="8"/>
            <rFont val="Segoe UI"/>
            <family val="2"/>
          </rPr>
          <t>Percentual de funcionários acidentados no ano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0F00-000001000000}">
      <text>
        <r>
          <rPr>
            <b/>
            <sz val="9"/>
            <color indexed="8"/>
            <rFont val="Segoe UI"/>
            <family val="2"/>
          </rPr>
          <t xml:space="preserve">Riscos Ambientais do Trabalho: 1%, 2% ou 3%
</t>
        </r>
      </text>
    </comment>
    <comment ref="I26" authorId="0" shapeId="0" xr:uid="{00000000-0006-0000-0F00-000002000000}">
      <text>
        <r>
          <rPr>
            <b/>
            <sz val="9"/>
            <color indexed="8"/>
            <rFont val="Segoe UI"/>
            <family val="2"/>
          </rPr>
          <t>Fator Acidentário de Prevenção: 0,5 a 2.</t>
        </r>
      </text>
    </comment>
    <comment ref="H46" authorId="0" shapeId="0" xr:uid="{00000000-0006-0000-0F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0F00-000004000000}">
      <text>
        <r>
          <rPr>
            <b/>
            <sz val="9"/>
            <color indexed="8"/>
            <rFont val="Segoe UI"/>
            <family val="2"/>
          </rPr>
          <t>Percentual de funcionários demitidos por ano com API</t>
        </r>
      </text>
    </comment>
    <comment ref="H56" authorId="1" shapeId="0" xr:uid="{00000000-0006-0000-0F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0F00-000006000000}">
      <text>
        <r>
          <rPr>
            <b/>
            <sz val="9"/>
            <color indexed="8"/>
            <rFont val="Segoe UI"/>
            <family val="2"/>
          </rPr>
          <t>Dias licença paternidade</t>
        </r>
      </text>
    </comment>
    <comment ref="I58" authorId="0" shapeId="0" xr:uid="{00000000-0006-0000-0F00-000007000000}">
      <text>
        <r>
          <rPr>
            <b/>
            <sz val="9"/>
            <color indexed="8"/>
            <rFont val="Segoe UI"/>
            <family val="2"/>
          </rPr>
          <t>Percentual de funcionários acidentados no ano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000-000001000000}">
      <text>
        <r>
          <rPr>
            <b/>
            <sz val="9"/>
            <color indexed="8"/>
            <rFont val="Segoe UI"/>
            <family val="2"/>
          </rPr>
          <t xml:space="preserve">Riscos Ambientais do Trabalho: 1%, 2% ou 3%
</t>
        </r>
      </text>
    </comment>
    <comment ref="I26" authorId="0" shapeId="0" xr:uid="{00000000-0006-0000-1000-000002000000}">
      <text>
        <r>
          <rPr>
            <b/>
            <sz val="9"/>
            <color indexed="8"/>
            <rFont val="Segoe UI"/>
            <family val="2"/>
          </rPr>
          <t>Fator Acidentário de Prevenção: 0,5 a 2.</t>
        </r>
      </text>
    </comment>
    <comment ref="H46" authorId="0" shapeId="0" xr:uid="{00000000-0006-0000-10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000-000004000000}">
      <text>
        <r>
          <rPr>
            <b/>
            <sz val="9"/>
            <color indexed="8"/>
            <rFont val="Segoe UI"/>
            <family val="2"/>
          </rPr>
          <t>Percentual de funcionários demitidos por ano com API</t>
        </r>
      </text>
    </comment>
    <comment ref="H56" authorId="1" shapeId="0" xr:uid="{00000000-0006-0000-10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000-000006000000}">
      <text>
        <r>
          <rPr>
            <b/>
            <sz val="9"/>
            <color indexed="8"/>
            <rFont val="Segoe UI"/>
            <family val="2"/>
          </rPr>
          <t>Dias licença paternidade</t>
        </r>
      </text>
    </comment>
    <comment ref="I58" authorId="0" shapeId="0" xr:uid="{00000000-0006-0000-1000-000007000000}">
      <text>
        <r>
          <rPr>
            <b/>
            <sz val="9"/>
            <color indexed="8"/>
            <rFont val="Segoe UI"/>
            <family val="2"/>
          </rPr>
          <t>Percentual de funcionários acidentados no ano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100-000001000000}">
      <text>
        <r>
          <rPr>
            <b/>
            <sz val="9"/>
            <color indexed="8"/>
            <rFont val="Segoe UI"/>
            <family val="2"/>
          </rPr>
          <t xml:space="preserve">Riscos Ambientais do Trabalho: 1%, 2% ou 3%
</t>
        </r>
      </text>
    </comment>
    <comment ref="I26" authorId="0" shapeId="0" xr:uid="{00000000-0006-0000-1100-000002000000}">
      <text>
        <r>
          <rPr>
            <b/>
            <sz val="9"/>
            <color indexed="8"/>
            <rFont val="Segoe UI"/>
            <family val="2"/>
          </rPr>
          <t>Fator Acidentário de Prevenção: 0,5 a 2.</t>
        </r>
      </text>
    </comment>
    <comment ref="H46" authorId="0" shapeId="0" xr:uid="{00000000-0006-0000-11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100-000004000000}">
      <text>
        <r>
          <rPr>
            <b/>
            <sz val="9"/>
            <color indexed="8"/>
            <rFont val="Segoe UI"/>
            <family val="2"/>
          </rPr>
          <t>Percentual de funcionários demitidos por ano com API</t>
        </r>
      </text>
    </comment>
    <comment ref="H56" authorId="1" shapeId="0" xr:uid="{00000000-0006-0000-11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100-000006000000}">
      <text>
        <r>
          <rPr>
            <b/>
            <sz val="9"/>
            <color indexed="8"/>
            <rFont val="Segoe UI"/>
            <family val="2"/>
          </rPr>
          <t>Dias licença paternidade</t>
        </r>
      </text>
    </comment>
    <comment ref="I58" authorId="0" shapeId="0" xr:uid="{00000000-0006-0000-1100-000007000000}">
      <text>
        <r>
          <rPr>
            <b/>
            <sz val="9"/>
            <color indexed="8"/>
            <rFont val="Segoe UI"/>
            <family val="2"/>
          </rPr>
          <t>Percentual de funcionários acidentados no ano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200-000001000000}">
      <text>
        <r>
          <rPr>
            <b/>
            <sz val="9"/>
            <color indexed="8"/>
            <rFont val="Segoe UI"/>
            <family val="2"/>
          </rPr>
          <t xml:space="preserve">Riscos Ambientais do Trabalho: 1%, 2% ou 3%
</t>
        </r>
      </text>
    </comment>
    <comment ref="I26" authorId="0" shapeId="0" xr:uid="{00000000-0006-0000-1200-000002000000}">
      <text>
        <r>
          <rPr>
            <b/>
            <sz val="9"/>
            <color indexed="8"/>
            <rFont val="Segoe UI"/>
            <family val="2"/>
          </rPr>
          <t>Fator Acidentário de Prevenção: 0,5 a 2.</t>
        </r>
      </text>
    </comment>
    <comment ref="H46" authorId="0" shapeId="0" xr:uid="{00000000-0006-0000-12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200-000004000000}">
      <text>
        <r>
          <rPr>
            <b/>
            <sz val="9"/>
            <color indexed="8"/>
            <rFont val="Segoe UI"/>
            <family val="2"/>
          </rPr>
          <t>Percentual de funcionários demitidos por ano com API</t>
        </r>
      </text>
    </comment>
    <comment ref="H56" authorId="1" shapeId="0" xr:uid="{00000000-0006-0000-12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200-000006000000}">
      <text>
        <r>
          <rPr>
            <b/>
            <sz val="9"/>
            <color indexed="8"/>
            <rFont val="Segoe UI"/>
            <family val="2"/>
          </rPr>
          <t>Dias licença paternidade</t>
        </r>
      </text>
    </comment>
    <comment ref="I58" authorId="0" shapeId="0" xr:uid="{00000000-0006-0000-1200-000007000000}">
      <text>
        <r>
          <rPr>
            <b/>
            <sz val="9"/>
            <color indexed="8"/>
            <rFont val="Segoe UI"/>
            <family val="2"/>
          </rPr>
          <t>Percentual de funcionários acidentados no ano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300-000001000000}">
      <text>
        <r>
          <rPr>
            <b/>
            <sz val="9"/>
            <color indexed="8"/>
            <rFont val="Segoe UI"/>
            <family val="2"/>
          </rPr>
          <t xml:space="preserve">Riscos Ambientais do Trabalho: 1%, 2% ou 3%
</t>
        </r>
      </text>
    </comment>
    <comment ref="I26" authorId="0" shapeId="0" xr:uid="{00000000-0006-0000-1300-000002000000}">
      <text>
        <r>
          <rPr>
            <b/>
            <sz val="9"/>
            <color indexed="8"/>
            <rFont val="Segoe UI"/>
            <family val="2"/>
          </rPr>
          <t>Fator Acidentário de Prevenção: 0,5 a 2.</t>
        </r>
      </text>
    </comment>
    <comment ref="H46" authorId="0" shapeId="0" xr:uid="{00000000-0006-0000-13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300-000004000000}">
      <text>
        <r>
          <rPr>
            <b/>
            <sz val="9"/>
            <color indexed="8"/>
            <rFont val="Segoe UI"/>
            <family val="2"/>
          </rPr>
          <t>Percentual de funcionários demitidos por ano com API</t>
        </r>
      </text>
    </comment>
    <comment ref="H56" authorId="1" shapeId="0" xr:uid="{00000000-0006-0000-13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300-000006000000}">
      <text>
        <r>
          <rPr>
            <b/>
            <sz val="9"/>
            <color indexed="8"/>
            <rFont val="Segoe UI"/>
            <family val="2"/>
          </rPr>
          <t>Dias licença paternidade</t>
        </r>
      </text>
    </comment>
    <comment ref="I58" authorId="0" shapeId="0" xr:uid="{00000000-0006-0000-1300-000007000000}">
      <text>
        <r>
          <rPr>
            <b/>
            <sz val="9"/>
            <color indexed="8"/>
            <rFont val="Segoe UI"/>
            <family val="2"/>
          </rPr>
          <t>Percentual de funcionários acidentados no ano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400-000001000000}">
      <text>
        <r>
          <rPr>
            <b/>
            <sz val="9"/>
            <color indexed="8"/>
            <rFont val="Segoe UI"/>
            <family val="2"/>
          </rPr>
          <t xml:space="preserve">Riscos Ambientais do Trabalho: 1%, 2% ou 3%
</t>
        </r>
      </text>
    </comment>
    <comment ref="I26" authorId="0" shapeId="0" xr:uid="{00000000-0006-0000-1400-000002000000}">
      <text>
        <r>
          <rPr>
            <b/>
            <sz val="9"/>
            <color indexed="8"/>
            <rFont val="Segoe UI"/>
            <family val="2"/>
          </rPr>
          <t>Fator Acidentário de Prevenção: 0,5 a 2.</t>
        </r>
      </text>
    </comment>
    <comment ref="H46" authorId="0" shapeId="0" xr:uid="{00000000-0006-0000-14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400-000004000000}">
      <text>
        <r>
          <rPr>
            <b/>
            <sz val="9"/>
            <color indexed="8"/>
            <rFont val="Segoe UI"/>
            <family val="2"/>
          </rPr>
          <t>Percentual de funcionários demitidos por ano com API</t>
        </r>
      </text>
    </comment>
    <comment ref="H56" authorId="1" shapeId="0" xr:uid="{00000000-0006-0000-14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400-000006000000}">
      <text>
        <r>
          <rPr>
            <b/>
            <sz val="9"/>
            <color indexed="8"/>
            <rFont val="Segoe UI"/>
            <family val="2"/>
          </rPr>
          <t>Dias licença paternidade</t>
        </r>
      </text>
    </comment>
    <comment ref="I58" authorId="0" shapeId="0" xr:uid="{00000000-0006-0000-1400-000007000000}">
      <text>
        <r>
          <rPr>
            <b/>
            <sz val="9"/>
            <color indexed="8"/>
            <rFont val="Segoe UI"/>
            <family val="2"/>
          </rPr>
          <t>Percentual de funcionários acidentados no ano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500-000001000000}">
      <text>
        <r>
          <rPr>
            <b/>
            <sz val="9"/>
            <color indexed="8"/>
            <rFont val="Segoe UI"/>
            <family val="2"/>
          </rPr>
          <t xml:space="preserve">Riscos Ambientais do Trabalho: 1%, 2% ou 3%
</t>
        </r>
      </text>
    </comment>
    <comment ref="I26" authorId="0" shapeId="0" xr:uid="{00000000-0006-0000-1500-000002000000}">
      <text>
        <r>
          <rPr>
            <b/>
            <sz val="9"/>
            <color indexed="8"/>
            <rFont val="Segoe UI"/>
            <family val="2"/>
          </rPr>
          <t>Fator Acidentário de Prevenção: 0,5 a 2.</t>
        </r>
      </text>
    </comment>
    <comment ref="H46" authorId="0" shapeId="0" xr:uid="{00000000-0006-0000-15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500-000004000000}">
      <text>
        <r>
          <rPr>
            <b/>
            <sz val="9"/>
            <color indexed="8"/>
            <rFont val="Segoe UI"/>
            <family val="2"/>
          </rPr>
          <t>Percentual de funcionários demitidos por ano com API</t>
        </r>
      </text>
    </comment>
    <comment ref="H56" authorId="1" shapeId="0" xr:uid="{00000000-0006-0000-15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500-000006000000}">
      <text>
        <r>
          <rPr>
            <b/>
            <sz val="9"/>
            <color indexed="8"/>
            <rFont val="Segoe UI"/>
            <family val="2"/>
          </rPr>
          <t>Dias licença paternidade</t>
        </r>
      </text>
    </comment>
    <comment ref="I58" authorId="0" shapeId="0" xr:uid="{00000000-0006-0000-1500-000007000000}">
      <text>
        <r>
          <rPr>
            <b/>
            <sz val="9"/>
            <color indexed="8"/>
            <rFont val="Segoe UI"/>
            <family val="2"/>
          </rPr>
          <t>Percentual de funcionários acidentados no ano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600-000001000000}">
      <text>
        <r>
          <rPr>
            <b/>
            <sz val="9"/>
            <color indexed="8"/>
            <rFont val="Segoe UI"/>
            <family val="2"/>
          </rPr>
          <t xml:space="preserve">Riscos Ambientais do Trabalho: 1%, 2% ou 3%
</t>
        </r>
      </text>
    </comment>
    <comment ref="I26" authorId="0" shapeId="0" xr:uid="{00000000-0006-0000-1600-000002000000}">
      <text>
        <r>
          <rPr>
            <b/>
            <sz val="9"/>
            <color indexed="8"/>
            <rFont val="Segoe UI"/>
            <family val="2"/>
          </rPr>
          <t>Fator Acidentário de Prevenção: 0,5 a 2.</t>
        </r>
      </text>
    </comment>
    <comment ref="H46" authorId="0" shapeId="0" xr:uid="{00000000-0006-0000-16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600-000004000000}">
      <text>
        <r>
          <rPr>
            <b/>
            <sz val="9"/>
            <color indexed="8"/>
            <rFont val="Segoe UI"/>
            <family val="2"/>
          </rPr>
          <t>Percentual de funcionários demitidos por ano com API</t>
        </r>
      </text>
    </comment>
    <comment ref="H56" authorId="1" shapeId="0" xr:uid="{00000000-0006-0000-16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600-000006000000}">
      <text>
        <r>
          <rPr>
            <b/>
            <sz val="9"/>
            <color indexed="8"/>
            <rFont val="Segoe UI"/>
            <family val="2"/>
          </rPr>
          <t>Dias licença paternidade</t>
        </r>
      </text>
    </comment>
    <comment ref="I58" authorId="0" shapeId="0" xr:uid="{00000000-0006-0000-1600-000007000000}">
      <text>
        <r>
          <rPr>
            <b/>
            <sz val="9"/>
            <color indexed="8"/>
            <rFont val="Segoe UI"/>
            <family val="2"/>
          </rPr>
          <t>Percentual de funcionários acidentados no ano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700-000001000000}">
      <text>
        <r>
          <rPr>
            <b/>
            <sz val="9"/>
            <color indexed="8"/>
            <rFont val="Segoe UI"/>
            <family val="2"/>
          </rPr>
          <t xml:space="preserve">Riscos Ambientais do Trabalho: 1%, 2% ou 3%
</t>
        </r>
      </text>
    </comment>
    <comment ref="I26" authorId="0" shapeId="0" xr:uid="{00000000-0006-0000-1700-000002000000}">
      <text>
        <r>
          <rPr>
            <b/>
            <sz val="9"/>
            <color indexed="8"/>
            <rFont val="Segoe UI"/>
            <family val="2"/>
          </rPr>
          <t>Fator Acidentário de Prevenção: 0,5 a 2.</t>
        </r>
      </text>
    </comment>
    <comment ref="H46" authorId="0" shapeId="0" xr:uid="{00000000-0006-0000-17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700-000004000000}">
      <text>
        <r>
          <rPr>
            <b/>
            <sz val="9"/>
            <color indexed="8"/>
            <rFont val="Segoe UI"/>
            <family val="2"/>
          </rPr>
          <t>Percentual de funcionários demitidos por ano com API</t>
        </r>
      </text>
    </comment>
    <comment ref="H56" authorId="1" shapeId="0" xr:uid="{00000000-0006-0000-17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700-000006000000}">
      <text>
        <r>
          <rPr>
            <b/>
            <sz val="9"/>
            <color indexed="8"/>
            <rFont val="Segoe UI"/>
            <family val="2"/>
          </rPr>
          <t>Dias licença paternidade</t>
        </r>
      </text>
    </comment>
    <comment ref="I58" authorId="0" shapeId="0" xr:uid="{00000000-0006-0000-1700-000007000000}">
      <text>
        <r>
          <rPr>
            <b/>
            <sz val="9"/>
            <color indexed="8"/>
            <rFont val="Segoe UI"/>
            <family val="2"/>
          </rPr>
          <t>Percentual de funcionários acidentados no ano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800-000001000000}">
      <text>
        <r>
          <rPr>
            <b/>
            <sz val="9"/>
            <color indexed="8"/>
            <rFont val="Segoe UI"/>
            <family val="2"/>
          </rPr>
          <t xml:space="preserve">Riscos Ambientais do Trabalho: 1%, 2% ou 3%
</t>
        </r>
      </text>
    </comment>
    <comment ref="I26" authorId="0" shapeId="0" xr:uid="{00000000-0006-0000-1800-000002000000}">
      <text>
        <r>
          <rPr>
            <b/>
            <sz val="9"/>
            <color indexed="8"/>
            <rFont val="Segoe UI"/>
            <family val="2"/>
          </rPr>
          <t>Fator Acidentário de Prevenção: 0,5 a 2.</t>
        </r>
      </text>
    </comment>
    <comment ref="H46" authorId="0" shapeId="0" xr:uid="{00000000-0006-0000-18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800-000004000000}">
      <text>
        <r>
          <rPr>
            <b/>
            <sz val="9"/>
            <color indexed="8"/>
            <rFont val="Segoe UI"/>
            <family val="2"/>
          </rPr>
          <t>Percentual de funcionários demitidos por ano com API</t>
        </r>
      </text>
    </comment>
    <comment ref="H56" authorId="1" shapeId="0" xr:uid="{00000000-0006-0000-18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800-000006000000}">
      <text>
        <r>
          <rPr>
            <b/>
            <sz val="9"/>
            <color indexed="8"/>
            <rFont val="Segoe UI"/>
            <family val="2"/>
          </rPr>
          <t>Dias licença paternidade</t>
        </r>
      </text>
    </comment>
    <comment ref="I58" authorId="0" shapeId="0" xr:uid="{00000000-0006-0000-1800-000007000000}">
      <text>
        <r>
          <rPr>
            <b/>
            <sz val="9"/>
            <color indexed="8"/>
            <rFont val="Segoe UI"/>
            <family val="2"/>
          </rPr>
          <t>Percentual de funcionários acidentados no ano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900-000001000000}">
      <text>
        <r>
          <rPr>
            <b/>
            <sz val="9"/>
            <color indexed="8"/>
            <rFont val="Segoe UI"/>
            <family val="2"/>
          </rPr>
          <t xml:space="preserve">Riscos Ambientais do Trabalho: 1%, 2% ou 3%
</t>
        </r>
      </text>
    </comment>
    <comment ref="I26" authorId="0" shapeId="0" xr:uid="{00000000-0006-0000-1900-000002000000}">
      <text>
        <r>
          <rPr>
            <b/>
            <sz val="9"/>
            <color indexed="8"/>
            <rFont val="Segoe UI"/>
            <family val="2"/>
          </rPr>
          <t>Fator Acidentário de Prevenção: 0,5 a 2.</t>
        </r>
      </text>
    </comment>
    <comment ref="H46" authorId="0" shapeId="0" xr:uid="{00000000-0006-0000-19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900-000004000000}">
      <text>
        <r>
          <rPr>
            <b/>
            <sz val="9"/>
            <color indexed="8"/>
            <rFont val="Segoe UI"/>
            <family val="2"/>
          </rPr>
          <t>Percentual de funcionários demitidos por ano com API</t>
        </r>
      </text>
    </comment>
    <comment ref="H56" authorId="1" shapeId="0" xr:uid="{00000000-0006-0000-19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900-000006000000}">
      <text>
        <r>
          <rPr>
            <b/>
            <sz val="9"/>
            <color indexed="8"/>
            <rFont val="Segoe UI"/>
            <family val="2"/>
          </rPr>
          <t>Dias licença paternidade</t>
        </r>
      </text>
    </comment>
    <comment ref="I58" authorId="0" shapeId="0" xr:uid="{00000000-0006-0000-1900-000007000000}">
      <text>
        <r>
          <rPr>
            <b/>
            <sz val="9"/>
            <color indexed="8"/>
            <rFont val="Segoe UI"/>
            <family val="2"/>
          </rPr>
          <t>Percentual de funcionários acidentados no ano</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A00-000001000000}">
      <text>
        <r>
          <rPr>
            <b/>
            <sz val="9"/>
            <color indexed="8"/>
            <rFont val="Segoe UI"/>
            <family val="2"/>
          </rPr>
          <t xml:space="preserve">Riscos Ambientais do Trabalho: 1%, 2% ou 3%
</t>
        </r>
      </text>
    </comment>
    <comment ref="I26" authorId="0" shapeId="0" xr:uid="{00000000-0006-0000-1A00-000002000000}">
      <text>
        <r>
          <rPr>
            <b/>
            <sz val="9"/>
            <color indexed="8"/>
            <rFont val="Segoe UI"/>
            <family val="2"/>
          </rPr>
          <t>Fator Acidentário de Prevenção: 0,5 a 2.</t>
        </r>
      </text>
    </comment>
    <comment ref="H46" authorId="0" shapeId="0" xr:uid="{00000000-0006-0000-1A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A00-000004000000}">
      <text>
        <r>
          <rPr>
            <b/>
            <sz val="9"/>
            <color indexed="8"/>
            <rFont val="Segoe UI"/>
            <family val="2"/>
          </rPr>
          <t>Percentual de funcionários demitidos por ano com API</t>
        </r>
      </text>
    </comment>
    <comment ref="H56" authorId="1" shapeId="0" xr:uid="{00000000-0006-0000-1A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A00-000006000000}">
      <text>
        <r>
          <rPr>
            <b/>
            <sz val="9"/>
            <color indexed="8"/>
            <rFont val="Segoe UI"/>
            <family val="2"/>
          </rPr>
          <t>Dias licença paternidade</t>
        </r>
      </text>
    </comment>
    <comment ref="I58" authorId="0" shapeId="0" xr:uid="{00000000-0006-0000-1A00-000007000000}">
      <text>
        <r>
          <rPr>
            <b/>
            <sz val="9"/>
            <color indexed="8"/>
            <rFont val="Segoe UI"/>
            <family val="2"/>
          </rPr>
          <t>Percentual de funcionários acidentados no ano</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B00-000001000000}">
      <text>
        <r>
          <rPr>
            <b/>
            <sz val="9"/>
            <color indexed="8"/>
            <rFont val="Segoe UI"/>
            <family val="2"/>
          </rPr>
          <t xml:space="preserve">Riscos Ambientais do Trabalho: 1%, 2% ou 3%
</t>
        </r>
      </text>
    </comment>
    <comment ref="I26" authorId="0" shapeId="0" xr:uid="{00000000-0006-0000-1B00-000002000000}">
      <text>
        <r>
          <rPr>
            <b/>
            <sz val="9"/>
            <color indexed="8"/>
            <rFont val="Segoe UI"/>
            <family val="2"/>
          </rPr>
          <t>Fator Acidentário de Prevenção: 0,5 a 2.</t>
        </r>
      </text>
    </comment>
    <comment ref="H46" authorId="0" shapeId="0" xr:uid="{00000000-0006-0000-1B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B00-000004000000}">
      <text>
        <r>
          <rPr>
            <b/>
            <sz val="9"/>
            <color indexed="8"/>
            <rFont val="Segoe UI"/>
            <family val="2"/>
          </rPr>
          <t>Percentual de funcionários demitidos por ano com API</t>
        </r>
      </text>
    </comment>
    <comment ref="H56" authorId="1" shapeId="0" xr:uid="{00000000-0006-0000-1B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B00-000006000000}">
      <text>
        <r>
          <rPr>
            <b/>
            <sz val="9"/>
            <color indexed="8"/>
            <rFont val="Segoe UI"/>
            <family val="2"/>
          </rPr>
          <t>Dias licença paternidade</t>
        </r>
      </text>
    </comment>
    <comment ref="I58" authorId="0" shapeId="0" xr:uid="{00000000-0006-0000-1B00-000007000000}">
      <text>
        <r>
          <rPr>
            <b/>
            <sz val="9"/>
            <color indexed="8"/>
            <rFont val="Segoe UI"/>
            <family val="2"/>
          </rPr>
          <t>Percentual de funcionários acidentados no ano</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C00-000001000000}">
      <text>
        <r>
          <rPr>
            <b/>
            <sz val="9"/>
            <color indexed="8"/>
            <rFont val="Segoe UI"/>
            <family val="2"/>
          </rPr>
          <t xml:space="preserve">Riscos Ambientais do Trabalho: 1%, 2% ou 3%
</t>
        </r>
      </text>
    </comment>
    <comment ref="I26" authorId="0" shapeId="0" xr:uid="{00000000-0006-0000-1C00-000002000000}">
      <text>
        <r>
          <rPr>
            <b/>
            <sz val="9"/>
            <color indexed="8"/>
            <rFont val="Segoe UI"/>
            <family val="2"/>
          </rPr>
          <t>Fator Acidentário de Prevenção: 0,5 a 2.</t>
        </r>
      </text>
    </comment>
    <comment ref="H46" authorId="0" shapeId="0" xr:uid="{00000000-0006-0000-1C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C00-000004000000}">
      <text>
        <r>
          <rPr>
            <b/>
            <sz val="9"/>
            <color indexed="8"/>
            <rFont val="Segoe UI"/>
            <family val="2"/>
          </rPr>
          <t>Percentual de funcionários demitidos por ano com API</t>
        </r>
      </text>
    </comment>
    <comment ref="H56" authorId="1" shapeId="0" xr:uid="{00000000-0006-0000-1C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C00-000006000000}">
      <text>
        <r>
          <rPr>
            <b/>
            <sz val="9"/>
            <color indexed="8"/>
            <rFont val="Segoe UI"/>
            <family val="2"/>
          </rPr>
          <t>Dias licença paternidade</t>
        </r>
      </text>
    </comment>
    <comment ref="I58" authorId="0" shapeId="0" xr:uid="{00000000-0006-0000-1C00-000007000000}">
      <text>
        <r>
          <rPr>
            <b/>
            <sz val="9"/>
            <color indexed="8"/>
            <rFont val="Segoe UI"/>
            <family val="2"/>
          </rPr>
          <t>Percentual de funcionários acidentados no ano</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E00-000001000000}">
      <text>
        <r>
          <rPr>
            <b/>
            <sz val="9"/>
            <color indexed="8"/>
            <rFont val="Segoe UI"/>
            <family val="2"/>
          </rPr>
          <t xml:space="preserve">Riscos Ambientais do Trabalho: 1%, 2% ou 3%
</t>
        </r>
      </text>
    </comment>
    <comment ref="I26" authorId="0" shapeId="0" xr:uid="{00000000-0006-0000-1E00-000002000000}">
      <text>
        <r>
          <rPr>
            <b/>
            <sz val="9"/>
            <color indexed="8"/>
            <rFont val="Segoe UI"/>
            <family val="2"/>
          </rPr>
          <t>Fator Acidentário de Prevenção: 0,5 a 2.</t>
        </r>
      </text>
    </comment>
    <comment ref="H46" authorId="0" shapeId="0" xr:uid="{00000000-0006-0000-1E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E00-000004000000}">
      <text>
        <r>
          <rPr>
            <b/>
            <sz val="9"/>
            <color indexed="8"/>
            <rFont val="Segoe UI"/>
            <family val="2"/>
          </rPr>
          <t>Percentual de funcionários demitidos por ano com API</t>
        </r>
      </text>
    </comment>
    <comment ref="H56" authorId="1" shapeId="0" xr:uid="{00000000-0006-0000-1E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E00-000006000000}">
      <text>
        <r>
          <rPr>
            <b/>
            <sz val="9"/>
            <color indexed="8"/>
            <rFont val="Segoe UI"/>
            <family val="2"/>
          </rPr>
          <t>Dias licença paternidade</t>
        </r>
      </text>
    </comment>
    <comment ref="I58" authorId="0" shapeId="0" xr:uid="{00000000-0006-0000-1E00-000007000000}">
      <text>
        <r>
          <rPr>
            <b/>
            <sz val="9"/>
            <color indexed="8"/>
            <rFont val="Segoe UI"/>
            <family val="2"/>
          </rPr>
          <t>Percentual de funcionários acidentados no ano</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
    <author>Vanessa Ávila De Souza</author>
  </authors>
  <commentList>
    <comment ref="G26" authorId="0" shapeId="0" xr:uid="{00000000-0006-0000-1F00-000001000000}">
      <text>
        <r>
          <rPr>
            <b/>
            <sz val="9"/>
            <color indexed="8"/>
            <rFont val="Segoe UI"/>
            <family val="2"/>
          </rPr>
          <t xml:space="preserve">Riscos Ambientais do Trabalho: 1%, 2% ou 3%
</t>
        </r>
      </text>
    </comment>
    <comment ref="I26" authorId="0" shapeId="0" xr:uid="{00000000-0006-0000-1F00-000002000000}">
      <text>
        <r>
          <rPr>
            <b/>
            <sz val="9"/>
            <color indexed="8"/>
            <rFont val="Segoe UI"/>
            <family val="2"/>
          </rPr>
          <t>Fator Acidentário de Prevenção: 0,5 a 2.</t>
        </r>
      </text>
    </comment>
    <comment ref="H46" authorId="0" shapeId="0" xr:uid="{00000000-0006-0000-1F00-000003000000}">
      <text>
        <r>
          <rPr>
            <b/>
            <sz val="9"/>
            <color indexed="8"/>
            <rFont val="Segoe UI"/>
            <family val="2"/>
          </rPr>
          <t>número de dias de indenização (33 = considerando 1 ano de tempo de serviço, sem completar 2 anos) - obs: acresce 3 meses a cada ano adicional completado.</t>
        </r>
      </text>
    </comment>
    <comment ref="I46" authorId="0" shapeId="0" xr:uid="{00000000-0006-0000-1F00-000004000000}">
      <text>
        <r>
          <rPr>
            <b/>
            <sz val="9"/>
            <color indexed="8"/>
            <rFont val="Segoe UI"/>
            <family val="2"/>
          </rPr>
          <t>Percentual de funcionários demitidos por ano com API</t>
        </r>
      </text>
    </comment>
    <comment ref="H56" authorId="1" shapeId="0" xr:uid="{00000000-0006-0000-1F00-000005000000}">
      <text>
        <r>
          <rPr>
            <b/>
            <sz val="8"/>
            <color indexed="81"/>
            <rFont val="Tahoma"/>
            <family val="2"/>
          </rPr>
          <t>Percentual de funcionários que se ausentam por licença paternidade no ano</t>
        </r>
        <r>
          <rPr>
            <sz val="8"/>
            <color indexed="81"/>
            <rFont val="Tahoma"/>
            <family val="2"/>
          </rPr>
          <t xml:space="preserve">
</t>
        </r>
      </text>
    </comment>
    <comment ref="I56" authorId="0" shapeId="0" xr:uid="{00000000-0006-0000-1F00-000006000000}">
      <text>
        <r>
          <rPr>
            <b/>
            <sz val="9"/>
            <color indexed="8"/>
            <rFont val="Segoe UI"/>
            <family val="2"/>
          </rPr>
          <t>Dias licença paternidade</t>
        </r>
      </text>
    </comment>
    <comment ref="I58" authorId="0" shapeId="0" xr:uid="{00000000-0006-0000-1F00-000007000000}">
      <text>
        <r>
          <rPr>
            <b/>
            <sz val="9"/>
            <color indexed="8"/>
            <rFont val="Segoe UI"/>
            <family val="2"/>
          </rPr>
          <t>Percentual de funcionários acidentados no ano</t>
        </r>
      </text>
    </comment>
  </commentList>
</comments>
</file>

<file path=xl/sharedStrings.xml><?xml version="1.0" encoding="utf-8"?>
<sst xmlns="http://schemas.openxmlformats.org/spreadsheetml/2006/main" count="6078" uniqueCount="668">
  <si>
    <t>Outros (especificar)</t>
  </si>
  <si>
    <t>F</t>
  </si>
  <si>
    <t>PLANILHA DE CUSTO E FORMAÇÃO DE PREÇOS</t>
  </si>
  <si>
    <t xml:space="preserve">MÓDULO 01 – Composição da Remuneração </t>
  </si>
  <si>
    <t>A</t>
  </si>
  <si>
    <t>Salário Base [Cláusula 2ª]</t>
  </si>
  <si>
    <t>B</t>
  </si>
  <si>
    <t>Adicional de Periculosidade</t>
  </si>
  <si>
    <t>CLT art.s 193 e segs ;CF art. 7º XXIII / Lei 12.740/2012</t>
  </si>
  <si>
    <t>%</t>
  </si>
  <si>
    <t>C</t>
  </si>
  <si>
    <t>Gratificação função líder</t>
  </si>
  <si>
    <t>D</t>
  </si>
  <si>
    <t xml:space="preserve">Gratificação </t>
  </si>
  <si>
    <t>E</t>
  </si>
  <si>
    <t>G</t>
  </si>
  <si>
    <t>H</t>
  </si>
  <si>
    <t>INSS</t>
  </si>
  <si>
    <t>SESI ou SESC</t>
  </si>
  <si>
    <t>SENAI ou SENAC</t>
  </si>
  <si>
    <t>INCRA</t>
  </si>
  <si>
    <t>Salário educação</t>
  </si>
  <si>
    <t>Seguro Acidente Trabalho (RAT x FAP):</t>
  </si>
  <si>
    <t>RAT=</t>
  </si>
  <si>
    <t>FAP=</t>
  </si>
  <si>
    <t>SEBRAE</t>
  </si>
  <si>
    <t>Aviso Prévio Indenizado (taxa de rotatividade)</t>
  </si>
  <si>
    <t>Incidência do FGTS sobre Aviso Prévio Indenizado</t>
  </si>
  <si>
    <t>% ocorrência</t>
  </si>
  <si>
    <t>Número de ausências por ano(dias)</t>
  </si>
  <si>
    <t>Licença paternidade (*)</t>
  </si>
  <si>
    <t>--</t>
  </si>
  <si>
    <t>Lucro</t>
  </si>
  <si>
    <t>Base de cálculo para os tributos</t>
  </si>
  <si>
    <t xml:space="preserve">Tributos </t>
  </si>
  <si>
    <t>Alíquota</t>
  </si>
  <si>
    <t xml:space="preserve">Tributos Federais </t>
  </si>
  <si>
    <t>PIS:</t>
  </si>
  <si>
    <t>COFINS:</t>
  </si>
  <si>
    <t>OUTROS:</t>
  </si>
  <si>
    <t xml:space="preserve">Tributos Municipais </t>
  </si>
  <si>
    <t>ISSQN:</t>
  </si>
  <si>
    <t>Outros tributos</t>
  </si>
  <si>
    <t>Total de Custos Indireto, Lucros e Tributos</t>
  </si>
  <si>
    <t>QUADRO RESUMO DO CUSTO POR EMPREGADO</t>
  </si>
  <si>
    <t>Mão-de-obra vinculada à execução contratual (valor por empregado)</t>
  </si>
  <si>
    <t>MÓDULO 05 – Custos Indireto, Tributos e Lucros</t>
  </si>
  <si>
    <t>Valor total proposto por empregado - mensal</t>
  </si>
  <si>
    <t>Cálculo do BDI</t>
  </si>
  <si>
    <t>ITENS</t>
  </si>
  <si>
    <t>Despesa Administrativa</t>
  </si>
  <si>
    <t>Aliquota total de tributos</t>
  </si>
  <si>
    <t>Fórmula</t>
  </si>
  <si>
    <t>SERVENTE</t>
  </si>
  <si>
    <t>Uniformes  (custo mensal por empregado)</t>
  </si>
  <si>
    <t>Percentual sobre o custo direto:</t>
  </si>
  <si>
    <t>São Paulo</t>
  </si>
  <si>
    <t>ANATEL SP</t>
  </si>
  <si>
    <t>Municípios</t>
  </si>
  <si>
    <t>Aparecida</t>
  </si>
  <si>
    <t>Araçatuba</t>
  </si>
  <si>
    <t>Arujá</t>
  </si>
  <si>
    <t>Atibaia</t>
  </si>
  <si>
    <t>Barra do Turvo</t>
  </si>
  <si>
    <t>Bauru</t>
  </si>
  <si>
    <t>Caçapava</t>
  </si>
  <si>
    <t>Cachoeira Paulista</t>
  </si>
  <si>
    <t>Cajati</t>
  </si>
  <si>
    <t>Campinas</t>
  </si>
  <si>
    <t>Guaiçara</t>
  </si>
  <si>
    <t>Guarulhos</t>
  </si>
  <si>
    <t>Itapecerica da Serra</t>
  </si>
  <si>
    <t>Lavrinhas</t>
  </si>
  <si>
    <t>Marília</t>
  </si>
  <si>
    <t>Miracatu</t>
  </si>
  <si>
    <t>Osasco</t>
  </si>
  <si>
    <t>Ourinhos</t>
  </si>
  <si>
    <t>Piquete</t>
  </si>
  <si>
    <t>Piracicaba</t>
  </si>
  <si>
    <t>Presidente Prudente</t>
  </si>
  <si>
    <t>Registro</t>
  </si>
  <si>
    <t>Ribeirão Preto</t>
  </si>
  <si>
    <t>Roseira</t>
  </si>
  <si>
    <t>Santos</t>
  </si>
  <si>
    <t>São José do Rio Preto</t>
  </si>
  <si>
    <t>São José dos Campos</t>
  </si>
  <si>
    <t>Sorocaba</t>
  </si>
  <si>
    <t>Taubaté</t>
  </si>
  <si>
    <t>Ubatuba</t>
  </si>
  <si>
    <t>Vargem</t>
  </si>
  <si>
    <t>Del 08 Posto Aparecida</t>
  </si>
  <si>
    <t>PSF Araçatuba</t>
  </si>
  <si>
    <t>Del 03 Atibaia</t>
  </si>
  <si>
    <t>Del 03 Posto Atibaia</t>
  </si>
  <si>
    <t>Del 05 Posto Barra do Turvo</t>
  </si>
  <si>
    <t>PSU Bauru</t>
  </si>
  <si>
    <t>Del 06 Posto Caçapava</t>
  </si>
  <si>
    <t>Del 01 Posto Arujá</t>
  </si>
  <si>
    <t>CT Cachoeira Paulista</t>
  </si>
  <si>
    <t>Del 08 Cachoeira Paulista</t>
  </si>
  <si>
    <t>Del 05 Posto Cajatí</t>
  </si>
  <si>
    <t>PSF Campinas</t>
  </si>
  <si>
    <t>PSU Campinas</t>
  </si>
  <si>
    <t>Del 10 Posto Guaiçara</t>
  </si>
  <si>
    <t>Del 01 Guarulhos</t>
  </si>
  <si>
    <t>Del 01 Posto Guarulhos</t>
  </si>
  <si>
    <t>JARI Guarulhos</t>
  </si>
  <si>
    <t>PSF Guarulhos</t>
  </si>
  <si>
    <t>Del 04 Itapecerica</t>
  </si>
  <si>
    <t>Del 04 Posto Itapecerica</t>
  </si>
  <si>
    <t>Del 08 Posto Lavrinhas</t>
  </si>
  <si>
    <t>Del 10 Marília</t>
  </si>
  <si>
    <t>PSU Marília</t>
  </si>
  <si>
    <t>Del 04 Posto Miracatú I (antigo Juquitiba)</t>
  </si>
  <si>
    <t>Del 04 Posto Miracatú II</t>
  </si>
  <si>
    <t>PSF Osasco</t>
  </si>
  <si>
    <t>Del 10 Posto Ourinhos</t>
  </si>
  <si>
    <t>Del 08 Posto Piquete</t>
  </si>
  <si>
    <t>AGU Piraricaba</t>
  </si>
  <si>
    <t>PSF Presidente Prudente</t>
  </si>
  <si>
    <t>PSU Presidente Prudente</t>
  </si>
  <si>
    <t>Del 05 Posto Registro</t>
  </si>
  <si>
    <t>Del 05 Registro</t>
  </si>
  <si>
    <t>PSF Ribeirão Preto</t>
  </si>
  <si>
    <t>PSU Ribeirão Preto</t>
  </si>
  <si>
    <t>Del 06 Posto Roseira</t>
  </si>
  <si>
    <t>PSF Santos</t>
  </si>
  <si>
    <t>PSU Santos</t>
  </si>
  <si>
    <t>Del 09 Posto São J. do Rio Pret</t>
  </si>
  <si>
    <t>Del 09 São J. do Rio Preto</t>
  </si>
  <si>
    <t>AGU São José do Rio Preto</t>
  </si>
  <si>
    <t>Del 02 São J. dos Campos</t>
  </si>
  <si>
    <t>AGU São José dos Campos</t>
  </si>
  <si>
    <t>SEDE São Paulo</t>
  </si>
  <si>
    <t>Arquivo 9 de julho</t>
  </si>
  <si>
    <t>Arquivo Baceunas</t>
  </si>
  <si>
    <t>AGU Sorocaba</t>
  </si>
  <si>
    <t>Del 06 Taubaté</t>
  </si>
  <si>
    <t>PSF Taubaté</t>
  </si>
  <si>
    <t>Del 07 Posto Ubatuba</t>
  </si>
  <si>
    <t>Del 07 Ubatuba Alojamento</t>
  </si>
  <si>
    <t>Del 07 Ubatuba I</t>
  </si>
  <si>
    <t>Del 07 Ubatuba II</t>
  </si>
  <si>
    <t>Del 03 Posto Vargem</t>
  </si>
  <si>
    <t>Barra_do_Turvo</t>
  </si>
  <si>
    <t>Cachoeira_Paulista</t>
  </si>
  <si>
    <t>Itapecerica_da_Serra</t>
  </si>
  <si>
    <t>Presidente_Prudente</t>
  </si>
  <si>
    <t>Ribeirão_Preto</t>
  </si>
  <si>
    <t>São_José_do_Rio_Preto</t>
  </si>
  <si>
    <t>São_José_dos_Campos</t>
  </si>
  <si>
    <t>São_Paulo</t>
  </si>
  <si>
    <t>*Base de Cálculo:  Salário Base + 1/3 de Férias + 13º</t>
  </si>
  <si>
    <t>FGTS*  *Caderno Técnico SLTI/MPOG</t>
  </si>
  <si>
    <t>A'</t>
  </si>
  <si>
    <t>Salário utilidade – alimentação – Preencher somente se a empresa não for filiada ao PAT</t>
  </si>
  <si>
    <t>I</t>
  </si>
  <si>
    <t>Adicional Noturno</t>
  </si>
  <si>
    <t>Adicional de Hota Noturna Reduzida</t>
  </si>
  <si>
    <t>Adicional de Hora Extra no Feriado Trabalhado</t>
  </si>
  <si>
    <t>Adicional de Insalubridade</t>
  </si>
  <si>
    <t>MÓDULO 2 – ENCARGOS E BENEFÍCIOS ANUAIS, MENSAIS E DIÁRIOS</t>
  </si>
  <si>
    <t>Submódulo 2.1 - 13º Salário, Férias e Adicional de Férias</t>
  </si>
  <si>
    <t>13º Salário</t>
  </si>
  <si>
    <t>Férias e Adicional de Férias</t>
  </si>
  <si>
    <t>Total Submódulo 2.1</t>
  </si>
  <si>
    <t>VALOR (R$)</t>
  </si>
  <si>
    <t>Submódulo 2.2 - GPS, FGTS e Outras Contribuições</t>
  </si>
  <si>
    <t>???</t>
  </si>
  <si>
    <t>Total Submódulo 2.2</t>
  </si>
  <si>
    <t>Submódulo 2.3 - Benefícios Mensais e Diários</t>
  </si>
  <si>
    <t>MÓDULO 3 – PROVISÃO PARA RESCISÃO</t>
  </si>
  <si>
    <t>Total Submódulo 2.3</t>
  </si>
  <si>
    <t>QUADRO-RESUMO DO MÓDULO 2 - ENCARGOS, BENEFÍCIOS ANUAIS, MENSAIS E DIÁRIOS</t>
  </si>
  <si>
    <t>2.1</t>
  </si>
  <si>
    <t>2.2</t>
  </si>
  <si>
    <t>2.3</t>
  </si>
  <si>
    <t>13º Salário, Férias e Adicional de Férias</t>
  </si>
  <si>
    <t>GPS, FGTS e Outras Contribuições</t>
  </si>
  <si>
    <t>TOTAL DO MÓDULO 2</t>
  </si>
  <si>
    <t>Benefícios Mensais e Diários</t>
  </si>
  <si>
    <t>TOTAL DO MÓDULO 3</t>
  </si>
  <si>
    <t>Multa do FGTS e Contribuição Social sobre o Aviso Prévio Indenizado</t>
  </si>
  <si>
    <t>Incidência dos encargos do submódulo 2.2 sobre Aviso Prévio Trabalhado</t>
  </si>
  <si>
    <t xml:space="preserve">Aviso Prévio Trabalhado </t>
  </si>
  <si>
    <t xml:space="preserve">Multa do FGTS e Contribuição Social sobre o Aviso Prévio Trabalhado. </t>
  </si>
  <si>
    <t>MÓDULO 4 – CUSTO DE REPOSIÇÃO DO PROFISSIONAL AUSENTE</t>
  </si>
  <si>
    <t>Férias</t>
  </si>
  <si>
    <t>Ausências Legais</t>
  </si>
  <si>
    <t>Ausência por Acidente de Trabalho</t>
  </si>
  <si>
    <t>Afastamento Maternidade</t>
  </si>
  <si>
    <t>Submódulo 4.1 - Ausências Legais</t>
  </si>
  <si>
    <t>Total Submódulo 4.1</t>
  </si>
  <si>
    <t>Submódulo 4.2 - Intrajornada</t>
  </si>
  <si>
    <t>Intervalo para Repouso ou Alimentação</t>
  </si>
  <si>
    <t>Total Submódulo 4.2</t>
  </si>
  <si>
    <t>QUADRO-RESUMO DO MÓDULO 4 - CUSTO DE REPOSIÇÃO DO PROFISSIONAL AUSENTE</t>
  </si>
  <si>
    <t>4.1</t>
  </si>
  <si>
    <t>4.2</t>
  </si>
  <si>
    <t>Intrajornada</t>
  </si>
  <si>
    <t>TOTAL DO MÓDULO 4</t>
  </si>
  <si>
    <t>MÓDULO 5 – INSUMOS DIVERSOS</t>
  </si>
  <si>
    <t>Equipamentos</t>
  </si>
  <si>
    <t>Meteriais</t>
  </si>
  <si>
    <t>d</t>
  </si>
  <si>
    <t>MÓDULO 06 – Custos Indiretos, Tributos e Lucro</t>
  </si>
  <si>
    <t>Custos Indiretos</t>
  </si>
  <si>
    <t>TOTAL DO MÓDULO 5</t>
  </si>
  <si>
    <t>TOTAL DO MÓDULO 1</t>
  </si>
  <si>
    <t>Subtotal (A+B+C+D+E)</t>
  </si>
  <si>
    <t>B1</t>
  </si>
  <si>
    <t>(-) Desc. PIS/COFINS</t>
  </si>
  <si>
    <t>Materiais</t>
  </si>
  <si>
    <t xml:space="preserve">SUBTOTAL </t>
  </si>
  <si>
    <t>Quantidade de postos -valor mensal de R$</t>
  </si>
  <si>
    <t>Incidencia do submodulo 2.2 no submodulo 4.1</t>
  </si>
  <si>
    <t>SUB.Total Submódulo 4.1</t>
  </si>
  <si>
    <t xml:space="preserve">Valor Anual </t>
  </si>
  <si>
    <t>Vale Transporte</t>
  </si>
  <si>
    <t>Desconto do VT</t>
  </si>
  <si>
    <t>SUB TOTAL</t>
  </si>
  <si>
    <t>10 - COEFICIENTES DE PRODUTIVIDADE E PREÇO DO M²</t>
  </si>
  <si>
    <t xml:space="preserve">Pisos Acarpetados e Frios (8 Horas) - XXX m² - Diária </t>
  </si>
  <si>
    <t>PRODUTIVIDADE  (1/M2)</t>
  </si>
  <si>
    <t>COEFICIENTE 8 HS DIÁRIAS</t>
  </si>
  <si>
    <t>PREÇO HOMEM  MÊS</t>
  </si>
  <si>
    <t xml:space="preserve">VALOR DA HORA </t>
  </si>
  <si>
    <t>FREQUÊNCIA (DIÁRIA) - HS</t>
  </si>
  <si>
    <t>PREÇO M²</t>
  </si>
  <si>
    <t>1/750</t>
  </si>
  <si>
    <t>ENCARREGADO</t>
  </si>
  <si>
    <t>1/(20*750)</t>
  </si>
  <si>
    <t>TOTAL M2........................................................................................................................................................................................................</t>
  </si>
  <si>
    <t xml:space="preserve"> </t>
  </si>
  <si>
    <t>Pisos Acarpetados e Frios (8 Horas) - XXX m² - Diária - Repasse e Refazimento</t>
  </si>
  <si>
    <t xml:space="preserve">Pisos Acarpetados e Frios (12 Horas) - XXXX m² - Diária </t>
  </si>
  <si>
    <t>COEFICIENTE 12 HS DIÁRIAS</t>
  </si>
  <si>
    <t>1/1125</t>
  </si>
  <si>
    <t>1/(20*1125)</t>
  </si>
  <si>
    <t>....................................</t>
  </si>
  <si>
    <t xml:space="preserve">Pisos Acarpetados e Frios (12 Horas) - XXXX m² - Diária - Repasse e Refazimento </t>
  </si>
  <si>
    <t xml:space="preserve">Banheiros (8 Horas) - XXX m² - Diária </t>
  </si>
  <si>
    <t xml:space="preserve">Banheiros (8 Horas) - XXX m² - Diária - Repasse e Refazimento </t>
  </si>
  <si>
    <t>...........................</t>
  </si>
  <si>
    <t xml:space="preserve">Banheiros (12 Horas) - XXXX m² - Diária </t>
  </si>
  <si>
    <t xml:space="preserve">Banheiros (12 Horas) - XXXX m² - Diária - Repasse e Refazimento  </t>
  </si>
  <si>
    <t>FREQUÊNCIA (QUINZENAL) - HS</t>
  </si>
  <si>
    <t>1/1688</t>
  </si>
  <si>
    <t>1/(20*1688)</t>
  </si>
  <si>
    <t xml:space="preserve">Almoxarifados/Galpões (12 Horas) - XXXX m² - Quinzenal </t>
  </si>
  <si>
    <t>VALOR DA HORA</t>
  </si>
  <si>
    <t>001/2532</t>
  </si>
  <si>
    <t>1/(20*22532)</t>
  </si>
  <si>
    <t>Oficinas (8 Horas) - XXXX m² - Quinzenal</t>
  </si>
  <si>
    <t>1/1500</t>
  </si>
  <si>
    <t>1/(20*1500)</t>
  </si>
  <si>
    <t>Espaços Livres - Saguão, Hall e Salão (12 Horas) - XXXX m² - Diária</t>
  </si>
  <si>
    <t>Pisos Pavimentados Adjacentes/Contíguos as Edificações (8 Horas) - XXXX m² - SEMANAL</t>
  </si>
  <si>
    <t>FREQUÊNCIA (SEMANAL) - HS</t>
  </si>
  <si>
    <t>Pisos Pavimentados Adjacentes/Contíguos as Edificações (12 Horas) - XXXX m² - Diária</t>
  </si>
  <si>
    <t>01/2.250</t>
  </si>
  <si>
    <t>1/(20*2250)</t>
  </si>
  <si>
    <t>Pisos Pavimentados Adjacentes/Contíguos as Edificações (12 Horas) - XXXX m² - Anual - Lavagem</t>
  </si>
  <si>
    <t>FREQUÊNCIA (ANUAL) - HS</t>
  </si>
  <si>
    <t>Pátios e Áreas Verdes - Alta Frequência (12 Horas) - XXXX m² - Diária</t>
  </si>
  <si>
    <t>1/(20*2.250)</t>
  </si>
  <si>
    <t>Coleta de Detritos em Pátios e Áreas Verdes (8 Horas) - XXXXXX m² - Diária</t>
  </si>
  <si>
    <t>1/125000</t>
  </si>
  <si>
    <t>1/(20*125000</t>
  </si>
  <si>
    <t>Coleta de Detritos em Pátios e Áreas Verdes (12 Horas) - XXXXXX m² - Diária</t>
  </si>
  <si>
    <t>1/187500</t>
  </si>
  <si>
    <t>1/(20*187500)</t>
  </si>
  <si>
    <t>Vidros Externos Sem Exposição à Situação de Risco (8 Horas) - XXX m² - Trimestral</t>
  </si>
  <si>
    <t>FREQUÊNCIA (TRIMESTRAL) - HS</t>
  </si>
  <si>
    <t>1/275</t>
  </si>
  <si>
    <t>1/(4*275)</t>
  </si>
  <si>
    <t>Vidros Externos Sem Exposição à Situação de Risco (12 Horas) - XXX m² - Trimestral</t>
  </si>
  <si>
    <t>1/412,50</t>
  </si>
  <si>
    <t>1/(4*412,50)</t>
  </si>
  <si>
    <t>Vidros Externos Com Exposição à Situação de Risco (8 Horas) - XXX m² - Trimestral</t>
  </si>
  <si>
    <t>1/138</t>
  </si>
  <si>
    <t>1/(4*138)</t>
  </si>
  <si>
    <t>Vidros Externos Com Exposição à Situação de Risco (12 Horas) - XXX m² - Trimestral</t>
  </si>
  <si>
    <t>1/207</t>
  </si>
  <si>
    <t>1/(4*207)</t>
  </si>
  <si>
    <t>INFORMAÇÕES COMPLEMENTARES (Observar que este cálculo é para a produtividade - Horas Trabalhadas):</t>
  </si>
  <si>
    <t>SEMANAS TOTAIS NO ANO</t>
  </si>
  <si>
    <t>SEMANAS NO MÊS</t>
  </si>
  <si>
    <t>40 HORAS SEMANAIS - HORAS DE TRABALHO NO MÊS POR FUNCIONÁRIO</t>
  </si>
  <si>
    <t>44 HORAS SEMANAIS - HORAS DE TRABALHO NO MÊS POR FUNCIONÁRIO</t>
  </si>
  <si>
    <t>12X36 HORAS - HORAS DE TRABALHO NO MÊS POR FUNCIONÁRIO</t>
  </si>
  <si>
    <r>
      <t xml:space="preserve">Almoxarifados/Galpões (8 Horas) - XXXX m² - </t>
    </r>
    <r>
      <rPr>
        <b/>
        <i/>
        <sz val="10"/>
        <color rgb="FFFF0000"/>
        <rFont val="Calibri"/>
        <family val="2"/>
        <scheme val="minor"/>
      </rPr>
      <t xml:space="preserve">Quinzenal </t>
    </r>
  </si>
  <si>
    <t>Folha 1</t>
  </si>
  <si>
    <t>ANEXO V-E</t>
  </si>
  <si>
    <t>COMPLEMENTO DOS SERVIÇOS DE LIMPEZA E CONSERVAÇÃO</t>
  </si>
  <si>
    <t>I - PREÇO MENSAL UNITÁRIO POR M²</t>
  </si>
  <si>
    <t>AREA INTERNA</t>
  </si>
  <si>
    <t>MÃO-DE-OBRA</t>
  </si>
  <si>
    <t>(1)</t>
  </si>
  <si>
    <t>(2)</t>
  </si>
  <si>
    <t>( 1 X 2 )</t>
  </si>
  <si>
    <t>PRODUTIVIDADE</t>
  </si>
  <si>
    <t>PREÇO HOMEM/MÊS</t>
  </si>
  <si>
    <t>SUBTOTAL</t>
  </si>
  <si>
    <t>(1/M²)</t>
  </si>
  <si>
    <t>(R$)</t>
  </si>
  <si>
    <t>(R$/M²)</t>
  </si>
  <si>
    <t>Pisos Acarpetados</t>
  </si>
  <si>
    <t>Encarregado</t>
  </si>
  <si>
    <t>Servente</t>
  </si>
  <si>
    <t>TOTAL</t>
  </si>
  <si>
    <t>Pisos Frios</t>
  </si>
  <si>
    <t>Laboratórios</t>
  </si>
  <si>
    <t>Almoxarifados e Galpões</t>
  </si>
  <si>
    <t>Oficinas</t>
  </si>
  <si>
    <t>Areas com Espaços Livres (Saguão, Hall e Salão)</t>
  </si>
  <si>
    <t>AREA EXTERNA</t>
  </si>
  <si>
    <t xml:space="preserve">Pisos Pavimentados Adjacentes Contíguos as Edificações </t>
  </si>
  <si>
    <t>Varrição de Passeios e Arruamentos</t>
  </si>
  <si>
    <t>Pátios e Áreas Verdes com Alta Frequência</t>
  </si>
  <si>
    <t>Pátios e Áreas Verdes com Média Frequência</t>
  </si>
  <si>
    <t>Pátios e Áreas Verdes com Baixa Frequência</t>
  </si>
  <si>
    <t>Coleta de Detritos em Pátios e Áreas Verdes com Frequência Diária</t>
  </si>
  <si>
    <t>Folha 2</t>
  </si>
  <si>
    <t>ESQUADRIA EXTERNA - FACE INTERNA/EXTERNA</t>
  </si>
  <si>
    <t xml:space="preserve"> (3)</t>
  </si>
  <si>
    <t xml:space="preserve"> (4)</t>
  </si>
  <si>
    <t>(5)</t>
  </si>
  <si>
    <t>( 4 X 5 )</t>
  </si>
  <si>
    <t>FREQUÊNCIA NO MÊS</t>
  </si>
  <si>
    <t>JORNADA DE TRABALHO NO MÊS</t>
  </si>
  <si>
    <t>( 1 X 2 X 3 )</t>
  </si>
  <si>
    <t>(HORAS)</t>
  </si>
  <si>
    <t>Ki</t>
  </si>
  <si>
    <t>Face Externa com exposição a situação de risco</t>
  </si>
  <si>
    <t>1/191,40</t>
  </si>
  <si>
    <t>Face Externa sem exposição a situação de risco</t>
  </si>
  <si>
    <t>Face Interna</t>
  </si>
  <si>
    <t>FACHADA ENVIDRAÇADA - FACE EXTERNA</t>
  </si>
  <si>
    <t>FREQUÊNCIA NO SEMESTRE</t>
  </si>
  <si>
    <t>JORNADA DE TRABALHO NO SEMESTRE</t>
  </si>
  <si>
    <t>Ke</t>
  </si>
  <si>
    <t>1/1148,40</t>
  </si>
  <si>
    <t>ÁREAS HOSPITALARES E ASSEMELHADOS</t>
  </si>
  <si>
    <t>Folha 3</t>
  </si>
  <si>
    <t>II - VALOR MENSAL DOS SERVIÇOS</t>
  </si>
  <si>
    <t>TIPO DE ÁREA</t>
  </si>
  <si>
    <t>PREÇO MENSAL UNITÁRIO</t>
  </si>
  <si>
    <t>ÁREA</t>
  </si>
  <si>
    <t>(M²)</t>
  </si>
  <si>
    <t>ÁREAS INTERNAS</t>
  </si>
  <si>
    <t>Pisos acarpetados</t>
  </si>
  <si>
    <t>Pisos frios</t>
  </si>
  <si>
    <t>Almoxarifado/Galpões</t>
  </si>
  <si>
    <t>Áreas com espaços livres           (saguão, hall e salão)</t>
  </si>
  <si>
    <t>TOTAL DA ÁREA INTERNA</t>
  </si>
  <si>
    <t>ÁREAS EXTERNAS</t>
  </si>
  <si>
    <t>Pisos pavimentados adjacentes/contíguos às edificações</t>
  </si>
  <si>
    <t>Varrição de passeios e arruamentos</t>
  </si>
  <si>
    <t>Pátios e áreas verdes com alta frequência</t>
  </si>
  <si>
    <t>Pátios e áreas verdes com média frequência</t>
  </si>
  <si>
    <t>Pátios e áreas verdes com baixa frequência</t>
  </si>
  <si>
    <t>Coleta de detritos em pátio e áreas verdes com frequência diária</t>
  </si>
  <si>
    <t>TOTAL DA ÁREA EXTERNA</t>
  </si>
  <si>
    <t>ESQUADRIAS EXTERNAS</t>
  </si>
  <si>
    <t>Face externa com exposição a situação de risco</t>
  </si>
  <si>
    <t>Face externa sem exposição a situação de risco</t>
  </si>
  <si>
    <t>Face interna</t>
  </si>
  <si>
    <t>TOTAL DA ESQUADRIA EXTERNA</t>
  </si>
  <si>
    <t>FACHADA ENVIDRAÇADA</t>
  </si>
  <si>
    <t>TOTAL DA FACHADA ENVIDRAÇADA</t>
  </si>
  <si>
    <t>TOTAL DAS ÁREAS HOSPITALARES E ASSMELHADAS</t>
  </si>
  <si>
    <t>Total do Valor Mensal do Serviço</t>
  </si>
  <si>
    <t>VALOR GLOBAL DA PROPOSTA                                                                            (Valor Mensal do Serviço x n° de meses do contrato</t>
  </si>
  <si>
    <t>N° de meses do contrato</t>
  </si>
  <si>
    <t>III - QUANTIDADE DE PESSOAL ALOCADO NA EXECUÇÃO CONTRATUAL</t>
  </si>
  <si>
    <t>TIPO DE MÃO DE OBRA</t>
  </si>
  <si>
    <t>QUANTIDADE DE PESSOAL</t>
  </si>
  <si>
    <t>ITEM</t>
  </si>
  <si>
    <t>SERVIÇOS</t>
  </si>
  <si>
    <t>QTDD POSTOS</t>
  </si>
  <si>
    <t>VALOR MENSAL</t>
  </si>
  <si>
    <t>Localidade</t>
  </si>
  <si>
    <t>CNPJ nº 05.443.410/0001-20</t>
  </si>
  <si>
    <t>MATERIAL</t>
  </si>
  <si>
    <t xml:space="preserve">EQUIPAMENTO </t>
  </si>
  <si>
    <t>EPIS</t>
  </si>
  <si>
    <t>MEDIA POR FUNCIONARIO</t>
  </si>
  <si>
    <t>EMPRESA: PH RECURSOS HUMANO EIRELI</t>
  </si>
  <si>
    <r>
      <t xml:space="preserve">DIA /HORA: </t>
    </r>
    <r>
      <rPr>
        <b/>
        <i/>
        <sz val="9"/>
        <color rgb="FFFF0000"/>
        <rFont val="Calibri"/>
        <family val="2"/>
        <scheme val="minor"/>
      </rPr>
      <t>19/03/2019 AS 14:00 HRS</t>
    </r>
  </si>
  <si>
    <t>LICITAÇÃO Nº  GGCS-7/2019 - PREGAO ELETRONICO 756250</t>
  </si>
  <si>
    <t>LIQUIGÁS - ARAUCÁRIA</t>
  </si>
  <si>
    <t>LOCALIDADE</t>
  </si>
  <si>
    <t>VALOR UNIT.</t>
  </si>
  <si>
    <t xml:space="preserve">Equipamentos </t>
  </si>
  <si>
    <t>EQUIPAMENTOS</t>
  </si>
  <si>
    <t>VALOR  12 MESES</t>
  </si>
  <si>
    <t>Salário Base</t>
  </si>
  <si>
    <t xml:space="preserve">Incidência do submodulo 2.2 no submodulo 2.1 </t>
  </si>
  <si>
    <t>Multa do FGTS e contribuição social sobre o aviso prévio indenizado e trabalhado</t>
  </si>
  <si>
    <t>Unidade</t>
  </si>
  <si>
    <t>Quantidade a disponibilizar</t>
  </si>
  <si>
    <t>Depreciação (em meses)</t>
  </si>
  <si>
    <t>Quantidade Anual</t>
  </si>
  <si>
    <t>Valor Unitário</t>
  </si>
  <si>
    <t>Custo Anual</t>
  </si>
  <si>
    <t>Ponto biométrico</t>
  </si>
  <si>
    <t>pç</t>
  </si>
  <si>
    <t xml:space="preserve">CUSTO ANUAL DOS EQUIPAMENTOS </t>
  </si>
  <si>
    <t xml:space="preserve">CUSTO MENSAL DOS EQUIPAMENTOS </t>
  </si>
  <si>
    <t>CUSTO ANUAL DOS UNIFORMES PARA POSTO</t>
  </si>
  <si>
    <t>CUSTO MENSAL DOS UNIFORMES PARA POSTO</t>
  </si>
  <si>
    <t>QUADRO RESUMO</t>
  </si>
  <si>
    <t>CUSTO ANUAL</t>
  </si>
  <si>
    <t>CUSTO MENSAL</t>
  </si>
  <si>
    <t>Custo Mensal por Funcionário</t>
  </si>
  <si>
    <t>Quantidade da mão de obra alocada na prestação dos serviços</t>
  </si>
  <si>
    <t>Crachá</t>
  </si>
  <si>
    <t>par</t>
  </si>
  <si>
    <t>Benefício Social Familiar - CCT Cláusula 16ª</t>
  </si>
  <si>
    <t>unid</t>
  </si>
  <si>
    <t>Servente - 40h (2ª a 6ª)</t>
  </si>
  <si>
    <t>Jardineiro - 40h (2ª a 6ª)</t>
  </si>
  <si>
    <t>Líder de Grupo - 40h (2ª a 6ª)</t>
  </si>
  <si>
    <t>Canoinhas / SC</t>
  </si>
  <si>
    <t xml:space="preserve">Uniformes (custo mensal por empregado) </t>
  </si>
  <si>
    <t xml:space="preserve">UNIFORMES </t>
  </si>
  <si>
    <t>Cascavel / PR</t>
  </si>
  <si>
    <t>Calça</t>
  </si>
  <si>
    <t>Camisa manga longa</t>
  </si>
  <si>
    <t>Camisa manga curta</t>
  </si>
  <si>
    <t>Par de sapatos</t>
  </si>
  <si>
    <t>Pulôver de lã</t>
  </si>
  <si>
    <t>Adicional de Risco</t>
  </si>
  <si>
    <t>A-1</t>
  </si>
  <si>
    <t>Auxilio Alimentação - CCT Cláusula 13ª § 8º</t>
  </si>
  <si>
    <t>Auxilio Alimentação - CCT Cláusula 13ª</t>
  </si>
  <si>
    <t>Assistência Médica - CCT Cláusula 15ª</t>
  </si>
  <si>
    <t>Fundo de Formação Profissional - CCT Cláusula 22ª</t>
  </si>
  <si>
    <t xml:space="preserve">Seguro de Vida </t>
  </si>
  <si>
    <t>CRM / PR</t>
  </si>
  <si>
    <t>Servente 6h/semana</t>
  </si>
  <si>
    <t>Campo Mourão / PR</t>
  </si>
  <si>
    <t>Servente 24h/semana</t>
  </si>
  <si>
    <t>Foz do Iguaçu / PR</t>
  </si>
  <si>
    <t>Francisco Beltrão / PR</t>
  </si>
  <si>
    <t>Guarapuava / PR</t>
  </si>
  <si>
    <t>Londrina / PR</t>
  </si>
  <si>
    <t>Maringá / PR</t>
  </si>
  <si>
    <t>Paranavaí / PR</t>
  </si>
  <si>
    <t>Pato Branco / PR</t>
  </si>
  <si>
    <t>Ponta Grossa / PR</t>
  </si>
  <si>
    <t>Rio Negro / PR</t>
  </si>
  <si>
    <t>Sto Antônio da Platina / PR</t>
  </si>
  <si>
    <t>Toledo / PR</t>
  </si>
  <si>
    <t>Umuarama / PR</t>
  </si>
  <si>
    <t>Apucarana / PR</t>
  </si>
  <si>
    <t>Jardineiro 8H/dia - 01x/mês</t>
  </si>
  <si>
    <t>Gratificação</t>
  </si>
  <si>
    <t>CONSELHO REGIONAL DE MEDICINA DO PARANÁ - CRM-PR</t>
  </si>
  <si>
    <t>CNPJ:</t>
  </si>
  <si>
    <t>NOME DA EMPRESA:</t>
  </si>
  <si>
    <t>Salário Mínimo Federal - 01/02/2020</t>
  </si>
  <si>
    <t>QTDE</t>
  </si>
  <si>
    <t>Descrição</t>
  </si>
  <si>
    <t>Quantidade anual</t>
  </si>
  <si>
    <t>Valor Total</t>
  </si>
  <si>
    <t>unidade</t>
  </si>
  <si>
    <t>Camiseta em malha, manga curta, com gola esporte, 100% algodão, trama fechada fio 30, com logotipo da empresa.</t>
  </si>
  <si>
    <t>Sapato de segurança em couro, sem cadarço, solado em duas camadas de poliuretano expandido bidensidade, injetado diretamente no cabedal, sendo a 1ª camada (entressola) macia e leve proporcionando maior conforto, e a 2ª camada resistente a objetos cortantes, perfurantes e abrasão, com sistema shock absorvedor para melhor mobilidade ao caminhar, com palmilha antibacteriana, deve apresentar CA (EPI).</t>
  </si>
  <si>
    <t>Bota de borracha antiderrapante impermeável (EPI).</t>
  </si>
  <si>
    <t xml:space="preserve">Jaqueta ou casaco com bolso em 100% poliester, com zíper frontal </t>
  </si>
  <si>
    <t>Custo Total Anual por servente</t>
  </si>
  <si>
    <t>Custo Total Mensal</t>
  </si>
  <si>
    <t>Calça comprida com elástico e cordão, com dois bolsos dianteiros tipo "faca", em brim (100% algodão), não transparente.</t>
  </si>
  <si>
    <t>Custo Total Anual por Funcionário</t>
  </si>
  <si>
    <t>Aspirador de Pó e Líquido Profissional com rodas, potência mínima 1400w, com bocais para cantos, pisos e carpetes, com tubos prolongadores.</t>
  </si>
  <si>
    <t>Carrinho Funcional Compacto para Limpeza com espaço para carregar vassouras, rodos e baldes de 10 litros (Similar ao 431 da Optima Moveis Hoteleiros ou 228-001 da Inarcan ou 0104 da BodyArt).</t>
  </si>
  <si>
    <t>Enceradeira Industrial 350mm, em alumínio, com escova e suporte para discos de fibra, rotação mínima de 190 rpm, capacidade operacional mínima de  1.500 m². Itens inclusos: 01 (um) disco de fibra de cada cor: verde (limpador), preto (removedor), amarelo (polidor), branco (lustrador) e vermelho (restaurador).</t>
  </si>
  <si>
    <t>Escada com três degraus em alumínio,com fita de segurança, dobrável, com suporte de peso mínimo de 100kg, fabricada de acordo com as normas da ABNT.</t>
  </si>
  <si>
    <t>Lavadora de Alta Pressão com rodas, potência mínima de 1500w, com bico regulável,  com mangueira de alta pressão de no mínimo 7 metros, pressão mínima de 1600 Psi, vazão mínima de 380 l/h.</t>
  </si>
  <si>
    <r>
      <t xml:space="preserve">Limpa Tudo (LT), suporte plástico com cabo de alumínio de 1,40m,  com manípulo de borracha,  moldado com ganchos que permitam a fixação de diversos tipos de fibras de limpeza. </t>
    </r>
    <r>
      <rPr>
        <b/>
        <sz val="9"/>
        <rFont val="Arial"/>
        <family val="2"/>
      </rPr>
      <t>DEVERÁ SER FORNECIDO 01 Limpa Tudo POR FUNCIONÁRIO NO PRIMEIRO DIA DE PRESTAÇÃO DO SERVIÇO, SENDO QUE A TROCA SERÁ EFETUADA QUANDO HOUVER NECESSIDADE, OU CASO HAJA AVARIAS/DANOS OU REDUÇÃO DA EFECIÊNCIA DO MATERIAL, FICANDO A CONTRATADA OBRIGADA A REPOR DE IMEDIATO ESTE MATERIAL.</t>
    </r>
  </si>
  <si>
    <t>Mop Completo para líquidos, de algodão com sistema de auto torção e cabo em alumínio regulável.</t>
  </si>
  <si>
    <t>Mop Completo para pó, com armação de 40cm e cabo regulável em alumínio.</t>
  </si>
  <si>
    <t>Mop Completo para pó, com armação de 60cm e cabo regulável em alumínio.</t>
  </si>
  <si>
    <t>REFIL PARA EQUIPAMENTOS</t>
  </si>
  <si>
    <t>Disco lustrador 350mm (BRANCO) constituído de uma manta de não-tecido formada por fibras sintéticas e partículas abrasivas espalhadas por todo o disco, unidas por uma resina sintética. Para utilização em enceradeiras ou limpadoras automáticas de baixa rotação.</t>
  </si>
  <si>
    <t>Disco polidor 350mm (AMARELO) constituído de uma manta de não-tecido formada por fibras sintéticas e partículas abrasivas espalhadas por todo o disco, unidas por uma resina sintética. Para utilização em enceradeiras ou limpadoras automáticas de baixa rotação.</t>
  </si>
  <si>
    <t xml:space="preserve">Fibra verde para equipamento Limpa-Tudo (LT). Produto não-tecido à base de fibras sintéticas e mineral abrasivo unidos por resina à prova d'água, usada para limpeza das sujeiras de maior dificuldade. </t>
  </si>
  <si>
    <t>Refil para MOP pó 40cm, composto por fios 100% acrílicos, parte superior confeccionada com tecido sintético lavável e de fácil secagem, resistente ao encolhimento.</t>
  </si>
  <si>
    <t>Refil Mop Água em Algodão Branco.</t>
  </si>
  <si>
    <t>Saco descartável de papel, para aspirador de pó. Pacote com 3 unidades.</t>
  </si>
  <si>
    <t>Pacote c/ 03 unidades</t>
  </si>
  <si>
    <t>x</t>
  </si>
  <si>
    <t>Apucarana</t>
  </si>
  <si>
    <t>Campo Mourão</t>
  </si>
  <si>
    <t>Cascavel</t>
  </si>
  <si>
    <t>Foz do Iguaçu</t>
  </si>
  <si>
    <t>Francisco Beltrão</t>
  </si>
  <si>
    <t>Guarapuava</t>
  </si>
  <si>
    <t>Londrina</t>
  </si>
  <si>
    <t>Maringá</t>
  </si>
  <si>
    <t>Paranavaí</t>
  </si>
  <si>
    <t>Pato Branco</t>
  </si>
  <si>
    <t>Ponta Grossa</t>
  </si>
  <si>
    <t>Rio Negro</t>
  </si>
  <si>
    <t>Santo Antônio da Platina</t>
  </si>
  <si>
    <t>Toledo</t>
  </si>
  <si>
    <t>Umuarama</t>
  </si>
  <si>
    <t>Valor Unitário:</t>
  </si>
  <si>
    <t xml:space="preserve">Valor Total: </t>
  </si>
  <si>
    <t>Equipamento para limpeza do auditório e painéis – a ser determinado para empresa contratada. (INFORMAR QUAIS EQUIPAMENTOS SERÃO UTILIZADOS)</t>
  </si>
  <si>
    <t>LISTA DE EQUIPAMENTOS E REFIS</t>
  </si>
  <si>
    <t>Item</t>
  </si>
  <si>
    <t>Calça comprida com elástico e cordão, com dois bolsos dianteiros tipo "faca", em material “Malha Adidas”, não transparente.</t>
  </si>
  <si>
    <t>Blusa de lã lisa com gola alta ou blusa de moletom, gola redonda.</t>
  </si>
  <si>
    <t>Crachá com cordão e foto</t>
  </si>
  <si>
    <t>EQUIPAMENTOS DE PROTEÇÃO INDIVIDUAL E COLETIVO (EPI E EPC)</t>
  </si>
  <si>
    <t>Par</t>
  </si>
  <si>
    <t>Chapéu Pescador, com abas para proteção de pescoço</t>
  </si>
  <si>
    <r>
      <t xml:space="preserve"> </t>
    </r>
    <r>
      <rPr>
        <sz val="8"/>
        <color theme="1"/>
        <rFont val="Arial"/>
        <family val="2"/>
      </rPr>
      <t>Protetor Solar Fator UVA e UVB 50</t>
    </r>
  </si>
  <si>
    <t>Blusa de moletom, gola redonda</t>
  </si>
  <si>
    <t>Luva de segurança para jardinagem com CA, confeccionada em nálion (fios de poliéster), revestimento em poliuretano (PU) na palma, face palmar dos dedos e nas pontas dos dedos. Deverá estar em conformidade com as normas da ABNT NBR 13.393 (EPI).</t>
  </si>
  <si>
    <t>Tesoura de poda profissional com lâmina intercambiável. Cabo revestido com plastisol. Lâminas em aço liga cromo vanádio temperada para um corte preciso e macio. Ajuste de aproximação das lâminas. Estrutura maciça em alumínio injetado. Cabo anatômico proporcionando conforto ao operador. Trava de segurança com acionamento em um único botão. Própria para poda de frutíferas, flores e plantas ornamentais. • Diâmetro de corte: Galhos verdes: 17 mm; Galhos secos: 10 mm</t>
  </si>
  <si>
    <t>SERVENTES (UNIFORME PARA CADA FUNCIONÁRIO)</t>
  </si>
  <si>
    <t>EQUIPAMENTOS DE PROTEÇÃO INDIVIDUAL E COLETIVO (EPI E EPC) (PARA CADA FUNCIONÁRIO)</t>
  </si>
  <si>
    <t>JARDINEIRO (UNIFORME PARA CADA FUNCIONÁRIO)</t>
  </si>
  <si>
    <t>Luva para limpeza em borracha de látex natural, com revestimento interno, reforçada, com superfície externa antiderrapante. Deverá estar em conformidade com as normas da ABNT NBR 13.393 (EPI).  (02 pares por mês)</t>
  </si>
  <si>
    <t>Luva para limpeza em borracha de látex natural, com revestimento interno, reforçada, com superfície externa antiderrapante. Deverá estar em conformidade com as normas da ABNT NBR 13.393 (EPI). (02 pares por mês)</t>
  </si>
  <si>
    <t>Valor Mensal</t>
  </si>
  <si>
    <r>
      <t>CCT - SIEMACO/PR - DATA BASE 01/02/2020</t>
    </r>
    <r>
      <rPr>
        <b/>
        <i/>
        <sz val="10"/>
        <color rgb="FFFF0000"/>
        <rFont val="Calibri"/>
        <family val="2"/>
        <scheme val="minor"/>
      </rPr>
      <t>** CCT DA CIDADE DE CASCAVEL</t>
    </r>
  </si>
  <si>
    <r>
      <t>CCT - SIEMACO/PR - DATA BASE 01/02/2020</t>
    </r>
    <r>
      <rPr>
        <b/>
        <i/>
        <sz val="10"/>
        <color rgb="FFFF0000"/>
        <rFont val="Calibri"/>
        <family val="2"/>
        <scheme val="minor"/>
      </rPr>
      <t>** CCT DA CIDADE DE LONDRINA</t>
    </r>
  </si>
  <si>
    <r>
      <t>CCT - SIEMACO/PR - DATA BASE 01/02/2020</t>
    </r>
    <r>
      <rPr>
        <b/>
        <i/>
        <sz val="10"/>
        <color rgb="FFFF0000"/>
        <rFont val="Calibri"/>
        <family val="2"/>
        <scheme val="minor"/>
      </rPr>
      <t>** CCT DA CIDADE DE MARINGÁ</t>
    </r>
  </si>
  <si>
    <r>
      <t>CCT - SIEMACO/PR - DATA BASE 01/02/2020</t>
    </r>
    <r>
      <rPr>
        <b/>
        <i/>
        <sz val="10"/>
        <color rgb="FFFF0000"/>
        <rFont val="Calibri"/>
        <family val="2"/>
        <scheme val="minor"/>
      </rPr>
      <t>** CCT DA CIDADE DE APUCARANA</t>
    </r>
  </si>
  <si>
    <t>SERVENTE 6H - 1X/SEMANA 
APUCARANA/PARANÁ</t>
  </si>
  <si>
    <r>
      <t>CCT - SIEMACO/PR - DATA BASE 01/02/2020</t>
    </r>
    <r>
      <rPr>
        <b/>
        <i/>
        <sz val="10"/>
        <color rgb="FFFF0000"/>
        <rFont val="Calibri"/>
        <family val="2"/>
        <scheme val="minor"/>
      </rPr>
      <t>** CCT DA CIDADE DE CAMPO MOURÃO</t>
    </r>
  </si>
  <si>
    <t>SERVENTE 6H - 1X/SEMANA 
CAMPO MOURÃO/PARANÁ</t>
  </si>
  <si>
    <r>
      <t>CCT - SIEMACO/PR - DATA BASE 01/02/2020</t>
    </r>
    <r>
      <rPr>
        <b/>
        <i/>
        <sz val="10"/>
        <color rgb="FFFF0000"/>
        <rFont val="Calibri"/>
        <family val="2"/>
        <scheme val="minor"/>
      </rPr>
      <t>** CCT DA CIDADE DE FOZ DO IGUAÇU</t>
    </r>
  </si>
  <si>
    <t>SERVENTE 6H - 1X/SEMANA 
FOZ DO IGUAÇU/PARANÁ</t>
  </si>
  <si>
    <r>
      <t>CCT - SIEMACO/PR - DATA BASE 01/02/2020</t>
    </r>
    <r>
      <rPr>
        <b/>
        <i/>
        <sz val="10"/>
        <color rgb="FFFF0000"/>
        <rFont val="Calibri"/>
        <family val="2"/>
        <scheme val="minor"/>
      </rPr>
      <t>** CCT DA CIDADE DE FRANCISCO BELTRÃO</t>
    </r>
  </si>
  <si>
    <t>SERVENTE 6H - 1X/SEMANA 
FRANCISCO BELTRÃO/PARANÁ</t>
  </si>
  <si>
    <r>
      <t>CCT - SIEMACO/PR - DATA BASE 01/02/2020</t>
    </r>
    <r>
      <rPr>
        <b/>
        <i/>
        <sz val="10"/>
        <color rgb="FFFF0000"/>
        <rFont val="Calibri"/>
        <family val="2"/>
        <scheme val="minor"/>
      </rPr>
      <t>** CCT DA CIDADE DE GUARAPUAVA</t>
    </r>
  </si>
  <si>
    <t>SERVENTE 6H - 1X/SEMANA 
GUARAPUAVA/PARANÁ</t>
  </si>
  <si>
    <r>
      <t>CCT - SIEMACO/PR - DATA BASE 01/02/2020</t>
    </r>
    <r>
      <rPr>
        <b/>
        <i/>
        <sz val="10"/>
        <color rgb="FFFF0000"/>
        <rFont val="Calibri"/>
        <family val="2"/>
        <scheme val="minor"/>
      </rPr>
      <t>** CCT DA CIDADE DE PARANAVAÍ</t>
    </r>
  </si>
  <si>
    <t>SERVENTE 6H - 1X/SEMANA 
PARANAVAÍ/PARANÁ</t>
  </si>
  <si>
    <r>
      <t>CCT - SIEMACO/PR - DATA BASE 01/02/2020</t>
    </r>
    <r>
      <rPr>
        <b/>
        <i/>
        <sz val="10"/>
        <color rgb="FFFF0000"/>
        <rFont val="Calibri"/>
        <family val="2"/>
        <scheme val="minor"/>
      </rPr>
      <t>** CCT DA CIDADE DE PATO BRANCO</t>
    </r>
  </si>
  <si>
    <t>SERVENTE 6H - 1X/SEMANA 
PATO BRANCO/PARANÁ</t>
  </si>
  <si>
    <r>
      <t>CCT - SIEMACO/PR - DATA BASE 01/02/2020</t>
    </r>
    <r>
      <rPr>
        <b/>
        <i/>
        <sz val="10"/>
        <color rgb="FFFF0000"/>
        <rFont val="Calibri"/>
        <family val="2"/>
        <scheme val="minor"/>
      </rPr>
      <t>** CCT DA CIDADE DE PONTA GROSSA</t>
    </r>
  </si>
  <si>
    <t>SERVENTE 6H - 1X/SEMANA 
PONTA GROSSA/PARANÁ</t>
  </si>
  <si>
    <r>
      <t>CCT - SIEMACO/PR - DATA BASE 01/02/2020</t>
    </r>
    <r>
      <rPr>
        <b/>
        <i/>
        <sz val="10"/>
        <color rgb="FFFF0000"/>
        <rFont val="Calibri"/>
        <family val="2"/>
        <scheme val="minor"/>
      </rPr>
      <t>** CCT DA CIDADE DE RIO NEGRO</t>
    </r>
  </si>
  <si>
    <t>SERVENTE 6H - 1X/SEMANA 
RIO NEGRO/PARANÁ</t>
  </si>
  <si>
    <r>
      <t>CCT - SIEMACO/PR - DATA BASE 01/02/2020</t>
    </r>
    <r>
      <rPr>
        <b/>
        <i/>
        <sz val="10"/>
        <color rgb="FFFF0000"/>
        <rFont val="Calibri"/>
        <family val="2"/>
        <scheme val="minor"/>
      </rPr>
      <t>** CCT DA CIDADE DE SANTO ANTÔNIO DA PLATINA</t>
    </r>
  </si>
  <si>
    <t>SERVENTE 6H - 1X/SEMANA 
STO ANÔNIO DA PLATINA/PARANÁ</t>
  </si>
  <si>
    <r>
      <t>CCT - SIEMACO/PR - DATA BASE 01/02/2020</t>
    </r>
    <r>
      <rPr>
        <b/>
        <i/>
        <sz val="10"/>
        <color rgb="FFFF0000"/>
        <rFont val="Calibri"/>
        <family val="2"/>
        <scheme val="minor"/>
      </rPr>
      <t>** CCT DA CIDADE DE TOLEDO</t>
    </r>
  </si>
  <si>
    <t>SERVENTE 6H - 1X/SEMANA 
TOLEDO/PARANÁ</t>
  </si>
  <si>
    <r>
      <t>CCT - SIEMACO/PR - DATA BASE 01/02/2020</t>
    </r>
    <r>
      <rPr>
        <b/>
        <i/>
        <sz val="10"/>
        <color rgb="FFFF0000"/>
        <rFont val="Calibri"/>
        <family val="2"/>
        <scheme val="minor"/>
      </rPr>
      <t>** CCT DA CIDADE DE UMUARAMA</t>
    </r>
  </si>
  <si>
    <t>SERVENTE 6H - 1X/SEMANA 
UMUARAMA/PARANÁ</t>
  </si>
  <si>
    <t>JARDINEIRO 8H / 01X NO MÊS 
CASCAVEL/PARANÁ</t>
  </si>
  <si>
    <t>JARDINEIRO 8H / 01X NO MÊS 
LONDRINA/PARANÁ</t>
  </si>
  <si>
    <t>JARDINEIRO 8H / 01X NO MÊS 
MARINGÁ/PARANÁ</t>
  </si>
  <si>
    <t>Vassoura, com cepa e cerdas de palha, tipo 05 fios, amarração com arame, cabo madeira medindo aprox. 1,20m, comprimento cerdas 60cm</t>
  </si>
  <si>
    <t>Vassoura para Teto em nylon, com cabo telescópico de 02 metros.</t>
  </si>
  <si>
    <t>Placas de sinalização (cavalete) "Piso Molhado" em polipropileno de alta resistência na cor amarela, tamanho aproximado de 30cm x 15cm x 65cm.</t>
  </si>
  <si>
    <t>Pá de lixo em polipropileno de alta resistência com cabo de alumínio longo.</t>
  </si>
  <si>
    <t>Pá automática.</t>
  </si>
  <si>
    <t>Limpa Vidros extensível com cabo em alumínio, composto por uma superfície em microfibra e rodo com borracha.</t>
  </si>
  <si>
    <t>Extensão Elétrica de 30 metros para utilização nos equipamentos de limpeza (lavadora de alta pressão etc.),  com carretel, espessura mínima do fio 2,5mm, com 2 tomadas (uma entrada e uma saída) no novo padrão brasileiro, certificada pelo INMETRO.</t>
  </si>
  <si>
    <t>Extensão Elétrica de 10 metros para utilização nos equipamentos de limpeza (lavadora de alta pressão etc.), espessura mínima do fio 2,5mm, com 2 tomadas (uma entrada e uma saída) no novo padrão brasileiro, certificada pelo INMETRO.</t>
  </si>
  <si>
    <t>Espanador de pó eletrostático, lavável, com cabo em polietileno de alta densidade, confeccionado com fios 100% acrílicos.</t>
  </si>
  <si>
    <t>Desentupidor de vaso sanitário em borracha com cabo longo em madeira (60 cm a 70 cm)</t>
  </si>
  <si>
    <t>Saco plástico lixo PRETO, 20 litros, 08 micras, de polipropileno. Deverá estar em conformidade com as normas da ABNT NBR 9190/9191/13055/13056.</t>
  </si>
  <si>
    <t>Saco plástico lixo AZUL, 30 litros, 08 micras, de polipropileno. Deverá estar em conformidade com as normas da ABNT NBR 9190/9191/13055/13056.</t>
  </si>
  <si>
    <t>Saco plástico lixo PRETO, 30 litros, 08 micras, de polipropileno. Deverá estar em conformidade com as normas da ABNT NBR 9190/9191/13055/13056.</t>
  </si>
  <si>
    <t>Saco plástico lixo AZUL, 40 litros, 08 micras, de polipropileno. Deverá estar em conformidade com as normas da ABNT NBR -9190/9191/13055/13056.</t>
  </si>
  <si>
    <t>Saco plástico lixo PRETO, 40 litros, 08 micras, de polipropileno. Deverá estar em conformidade com as normas da ABNT NBR 9190/9191/13055/13056.</t>
  </si>
  <si>
    <t>Saco plástico lixo AZUL, 60 litros, 08 micras, de polipropileno. Deverá estar em conformidade com as normas da ABNT NBR 9190/9191/13055/13056.</t>
  </si>
  <si>
    <t>Saco plástico lixo PRETO, 60 litros, 08 micras, de polipropileno. Deverá estar em conformidade com as normas da ABNT NBR 9190/9191/13055/13056.</t>
  </si>
  <si>
    <t>Saco plástico lixo AZUL, 100 litros, 10 micras, de polipropileno. Deverá estar em conformidade com as normas da ABNT NBR 9190/9191/13055/13056.</t>
  </si>
  <si>
    <t>Saco plástico lixo PRETO, 100 litros, 10 micras, de polipropileno. Deverá estar em conformidade com as normas da ABNT NBR 9190/9191/13055/13056.</t>
  </si>
  <si>
    <t>Pano de copa (prato), para cozinha, resistente, com no mínimo 95% algodão, branco liso, sem estampa, medindo aproximadamente 40x70cm.</t>
  </si>
  <si>
    <t>Flanela para limpeza, 100% de algodão, lisa, medindo aproximadamente 40x60cm.</t>
  </si>
  <si>
    <t xml:space="preserve">Esponja sintética dupla face (um lado espuma poliuretano com bactericida e outro em   fibra sintética abrasiva), formato retangular, medindo aproximadamente 110x70x20mm, abrasividade média. </t>
  </si>
  <si>
    <t xml:space="preserve">Esponja de lã de aço, formato retangular, aplicação limpeza geral, textura macia e isenta de sinais de oxidação, medindo, no mínimo, 100x75. Composição: lã de aço carbono. </t>
  </si>
  <si>
    <t>Escova plástica de mão com cerda de polipropileno</t>
  </si>
  <si>
    <t>05 Litros</t>
  </si>
  <si>
    <t>Limpador com cera incolor. A embalagem deverá conter externamente os dados de identificação, procedência, número do lote, validade e número de registro no Ministério da Saúde.</t>
  </si>
  <si>
    <t>Cera Líquida Incolor (Similar a BRAVO CLASSIC). A embalagem deverá conter externamente os dados de identificação, procedência, número do lote, validade e número de registro no Ministério da Saúde</t>
  </si>
  <si>
    <t>Cera acrílica brilho molhado incolor impermeabilizante/ antiderrapante. A embalagem deverá conter externamente os dados de identificação, procedência, número do lote, validade e número de registro no Ministério da Saúde</t>
  </si>
  <si>
    <t xml:space="preserve">Frasco de 200ml </t>
  </si>
  <si>
    <t>Lustra móveis. Emulsão aquosa cremosa, perfumada, para aplicação em móveis e superfícies lisas, com bico econômico. Aromas diversos.  A embalagem deverá conter externamente os dados de identificação, procedência, número do lote, validade e número de registro no Ministério da Saúde.</t>
  </si>
  <si>
    <t>Frasco de 500ml</t>
  </si>
  <si>
    <t xml:space="preserve">Limpador de inox em spray (Similar ao Brilha Inox Scotch-Brite - 3M) </t>
  </si>
  <si>
    <t>Limpa móvel  de  madeira,  a base    de    óleo    de    peroba. Embalagem  com  200  ml,  com dados    de    identificação    do produto,  marca  do  fabricante, data   de   fabricação,   prazo   de validade.</t>
  </si>
  <si>
    <t>Desodorizador de ambiente, aerosol, sem CFC. Essências suaves. Aplicação: aromatizador ambiental. A embalagem deverá conter externamente os dados de identificação, procedência, número do lote, validade e número de registro no Ministério da Saúde.</t>
  </si>
  <si>
    <t>Saponáceo cremoso com cloro. Frasco plástico de 300ml. A embalagem deverá conter externamente os dados de identificação, procedência, número do lote, validade e número de registro no Ministério da Saúde</t>
  </si>
  <si>
    <t>Sabão em barra neutro, de glicerina, 400g. A embalagem deverá conter externamente os dados de identificação, procedência, número do lote, validade e número de registro no Ministério da Saúde.</t>
  </si>
  <si>
    <t>Removedor de manchas concentrado</t>
  </si>
  <si>
    <t>Limpador multiuso concentrado, biodegradável, destinado à limpeza e conservação de todas as superfícies laváveis (Similar ao GARRA BECKER)</t>
  </si>
  <si>
    <t>Limpa vidros líquido. A embalagem deverá conter externamente os dados de identificação, procedência, número do lote, validade e número de registro no Ministério da Saúde.</t>
  </si>
  <si>
    <t>Limpa Carpete, detergente concentrado de baixa espumação, destinado a limpeza de carpetes, tapetes e estofados.</t>
  </si>
  <si>
    <t>Detergente líquido de uso geral neutro concentrado.</t>
  </si>
  <si>
    <t>Desengordurante/Desengraxante concentrado para remoção de gorduras, graxas, óleos e toda sujeira impregnada em pisos e outros revestimentos.</t>
  </si>
  <si>
    <t>Querosene para limpeza</t>
  </si>
  <si>
    <t>Papel toalha branco, com textura: folha simples, macia, homogênea e com alta absorção de líquidos. Em formato  interfolhado - 2 dobras. Medida: 21 a 22,5 cm x 20 a 22 cm. Pacote com 1000 folhas. Referência: Indaial Extra Luxo (cx. vermelha)/ Sulleg (Classic)/ Jofel/ Melhoramentos (Fiesta)</t>
  </si>
  <si>
    <t>Papel higiênico branco, com textura: folha dupla, macia, absorvente e homogênea, (isenta de manchas, lacunas, furos e partículas). Em formato interfolhado. Medida: 10 a 11,5 cm x 20 a 21,5 cm. Referência: Indaial Extra Luxo/ Sulleg (Elegante)/ Jofel/ Century/ Melhoramentos (Melpaper).</t>
  </si>
  <si>
    <t>Desinfetante líquido concentrado, bactericida e germicida. Composição aromática: eucalipto ou lavanda. A embalagem deverá conter externamente os dados de identificação, procedência, número do lote, validade e número de registro no Ministério da Saúde.</t>
  </si>
  <si>
    <t>Embalagem com 100 copos</t>
  </si>
  <si>
    <t>Álcool Etílico Diluído/Hidratado 46º INPM - 1 litro</t>
  </si>
  <si>
    <t>Álcool 70 graus hospitalar em gel.</t>
  </si>
  <si>
    <t>Especificação</t>
  </si>
  <si>
    <t>GRUPO</t>
  </si>
  <si>
    <t>KIT BÁSICO</t>
  </si>
  <si>
    <t>Pacote c/ 08 unidades</t>
  </si>
  <si>
    <r>
      <t xml:space="preserve">Saco de chão tipo cobertor, duplo, 100% de algodão, pré-amaciado, super resistente, com trama grossa (bem fechada), medindo aproximadamente 60x90cm, para uso doméstico. </t>
    </r>
    <r>
      <rPr>
        <b/>
        <sz val="9"/>
        <color rgb="FF000000"/>
        <rFont val="Arial"/>
        <family val="2"/>
      </rPr>
      <t>DEVERÃO SER FORNECIDOS 02 SACOS POR FUNCIONÁRIO POR MÊS.</t>
    </r>
  </si>
  <si>
    <t>Embalagem com 2 panos de chão</t>
  </si>
  <si>
    <t>Vassoura de pêlo, cerdas em pêlo sintético, cabo em alumínio de aprox. 1,50m, recoberto com capa plástica.</t>
  </si>
  <si>
    <t>Vassoura de piaçava com cabo de alumínio fixado ao taco e este ao corpo através do revestimento com folha de flandres. Os fios deverão ser contínuos e com rigidez adequada para varrição de piso áspero. Não serão aceitos fios provenientes de crina vegetal tingida.</t>
  </si>
  <si>
    <r>
      <t xml:space="preserve">BALDE  em  material  plástico, polietileno   de   alta   densidade, alta    resistência    a    impacto, paredes   e   fundo   reforçados, reforço no encaixe da alça, 10 litros, certificado pelo INMETRO. </t>
    </r>
    <r>
      <rPr>
        <b/>
        <sz val="9"/>
        <color rgb="FF000000"/>
        <rFont val="Arial"/>
        <family val="2"/>
      </rPr>
      <t>DEVERÁ SER FORNECIDO 01 BALDE POR FUNCIONÁRIO NO PRIMEIRO DIA DE PRESTAÇÃO DO SERVIÇO, SENDO QUE A TROCA SERÁ EFETUADA CASO HAJA AVARIAS/DANOS OU REDUÇÃO DA EFECIÊNCIA DO MATERIAL, FICANDO A CONTRATADA OBRIGADA A REPOR DE IMEDIATO ESTE MATERIAL.</t>
    </r>
  </si>
  <si>
    <r>
      <t xml:space="preserve">RODO,   para   piso,   com   02 (duas)    borrachas,    base    em polipropileno   com   40cm, cabo  em  alumínio  com  encaixe rosqueado, comprimento 150cm. </t>
    </r>
    <r>
      <rPr>
        <b/>
        <sz val="9"/>
        <color rgb="FF000000"/>
        <rFont val="Arial"/>
        <family val="2"/>
      </rPr>
      <t>DEVERÁ SER FORNECIDO 01 RODO 40CM POR FUNCIONÁRIO NO EVERÁ SER FORNECIDO 01 BALDE POR FUNCIONÁRIO NO PRIMEIRO DIA DE PRESTAÇÃO DO SERVIÇO, SENDO QUE A TROCA SERÁ EFETUADA CASO HAJA AVARIAS/DANOS OU REDUÇÃO DA EFECIÊNCIA DO MATERIAL, FICANDO A CONTRATADA OBRIGADA A REPOR DE IMEDIATO ESTE MATERIAL.</t>
    </r>
  </si>
  <si>
    <r>
      <t xml:space="preserve">RODO,   para   piso,   com   02 (duas)    borrachas,    base    em polipropileno   com   60cm,  cabo  em  alumínio  com  encaixe rosqueado, comprimento 150cm. </t>
    </r>
    <r>
      <rPr>
        <b/>
        <sz val="9"/>
        <color rgb="FF000000"/>
        <rFont val="Arial"/>
        <family val="2"/>
      </rPr>
      <t>DEVERÁ SER FORNECIDO 01 RODO 60 CM POR FUNCIONÁRIO NO PRIMEIRO DIA DE PRESTAÇÃO DO SERVIÇO, SENDO QUE A TROCA SERÁ EFETUADA CASO HAJA AVARIAS/DANOS OU REDUÇÃO DA EFECIÊNCIA DO MATERIAL, FICANDO A CONTRATADA OBRIGADA A REPOR DE IMEDIATO ESTE MATERIAL.</t>
    </r>
  </si>
  <si>
    <r>
      <t xml:space="preserve">Vassoura plástica para vaso sanitário, resistente, com cerdas em nylon, formato arredondado, na cor branca, com suporte, medindo aproximadamente 14 x 42 cm. </t>
    </r>
    <r>
      <rPr>
        <b/>
        <sz val="9"/>
        <color rgb="FF000000"/>
        <rFont val="Arial"/>
        <family val="2"/>
      </rPr>
      <t>DEVERÁ SER FORNECIDO 01 VASSOURA POR FUNCIONÁRIO DE BANHEIRO NO PRIMEIRO DIA DE PRESTAÇÃO DO SERVIÇO, SENDO QUE A TROCA SERÁ EFETUADA CASO HAJA AVARIAS/DANOS OU REDUÇÃO DA EFECIÊNCIA DO MATERIAL, FICANDO A CONTRATADA OBRIGADA A REPOR DE IMEDIATO ESTE MATERIAL.</t>
    </r>
  </si>
  <si>
    <r>
      <t xml:space="preserve">Pulverizador de água manual versátil fabricado em polipropileno. Com jato regulável 500 ml. </t>
    </r>
    <r>
      <rPr>
        <b/>
        <sz val="9"/>
        <rFont val="Arial"/>
        <family val="2"/>
      </rPr>
      <t xml:space="preserve">Especificações do Produto: </t>
    </r>
    <r>
      <rPr>
        <sz val="9"/>
        <rFont val="Arial"/>
        <family val="2"/>
      </rPr>
      <t xml:space="preserve">Dimensões - Altura: 23,00 cm; Largura: 9,00 cm; Profundidade: 9,00 cm; Peso: 50,00 Gramas. </t>
    </r>
    <r>
      <rPr>
        <b/>
        <sz val="9"/>
        <rFont val="Arial"/>
        <family val="2"/>
      </rPr>
      <t>Trocar se houver necessidade.</t>
    </r>
  </si>
  <si>
    <t>DESINFETANTE</t>
  </si>
  <si>
    <t>1 Litro</t>
  </si>
  <si>
    <t>Frasco de 400ml</t>
  </si>
  <si>
    <t>Pastilha Adesiva perfumada para vaso sanitário.</t>
  </si>
  <si>
    <t>Caixa com 3 unidades</t>
  </si>
  <si>
    <t>Desinfetante Líquido Bruto (Similar a LYSOFORM BRUTO). A embalagem deverá conter externamente os dados de identificação, procedência, número do lote, validade e número de registro no Ministério da Saúde</t>
  </si>
  <si>
    <t>Hipoclorito de Sódio 12% concentrado - Água Sanitária. A embalagem deverá conter externamente os dados de identificação, procedência, número do lote, validade e número de registro no Ministério da Saúde.</t>
  </si>
  <si>
    <t>DETERGENTES E LIMPADORES</t>
  </si>
  <si>
    <t>Pacote com 05 unidade</t>
  </si>
  <si>
    <r>
      <t xml:space="preserve">Sabão em pó 1kg. A embalagem deverá conter externamente os dados de identificação, procedência, número do lote, validade e número de registro no Ministério da Saúde. </t>
    </r>
    <r>
      <rPr>
        <b/>
        <sz val="9"/>
        <color rgb="FF000000"/>
        <rFont val="Arial"/>
        <family val="2"/>
      </rPr>
      <t>Pode ser substituido pela versão líquida (1L).</t>
    </r>
  </si>
  <si>
    <t xml:space="preserve">Sabonete Líquido biodegradável, Consistência: Cremosa, PH neutro. Higienização: mãos. Fragrância: Erva-doce. Prazo de validade mínimo de 03 (três meses). Referências: Higipel/ Linha Bell Plus (Bell Plus Erva-doce)/ Premisse (Erva-doce Premium). </t>
  </si>
  <si>
    <t>05 litros</t>
  </si>
  <si>
    <t>Limpador de pedra para área externa. Limpeza e remoção de manchas em qualquer superfície mineral e liga contendo cimento e areia.
- Desincrustante ácido;
- Limpador de superfícies minerais;
- Ação decapante em pedras naturais.</t>
  </si>
  <si>
    <t>LIMPADORES DE MADEIRA E INOX</t>
  </si>
  <si>
    <t>DESCARTÁVEIS</t>
  </si>
  <si>
    <r>
      <t>Copo Descartável para água, cor branca</t>
    </r>
    <r>
      <rPr>
        <sz val="9"/>
        <color theme="1"/>
        <rFont val="Arial"/>
        <family val="2"/>
      </rPr>
      <t xml:space="preserve">. Material: Polipropileno. – 1ª Qualidade. Conformidade: Norma Técnica 14.865/2002 ABNT. Capacidade: 180 ml. Embalagem: o produto deve vir embalado de maneira que haja proteção e conservação higiênica interna e externamente. Informações constantes na embalagem externa: nome do produto, matéria-prima, quantidade, capacidade volumétrica, data de validade, nome, endereço, telefone e CNPJ do fabricante. Prazo de validade mínimo de 03 (três meses). </t>
    </r>
    <r>
      <rPr>
        <i/>
        <sz val="9"/>
        <color theme="1"/>
        <rFont val="Arial"/>
        <family val="2"/>
      </rPr>
      <t>Referências: Alta Coppo/Copobras-PP (cx azul)/Copaza/Zanatta, Coposul</t>
    </r>
    <r>
      <rPr>
        <sz val="9"/>
        <color theme="1"/>
        <rFont val="Arial"/>
        <family val="2"/>
      </rPr>
      <t xml:space="preserve"> </t>
    </r>
  </si>
  <si>
    <r>
      <t>Copo Descartável para café, cor branca</t>
    </r>
    <r>
      <rPr>
        <sz val="9"/>
        <color theme="1"/>
        <rFont val="Arial"/>
        <family val="2"/>
      </rPr>
      <t xml:space="preserve">. Material: Polipropileno - 1ª Qualidade. Conformidade: Norma Técnica 14.865/2002 ABNT. Capacidade: 50 ml. Embalagem: o produto deve vir embalado de maneira que haja proteção e conservação higiênica interna e externamente. Informações constantes na embalagem externa: nome do produto, matéria-prima, quantidade, capacidade volumétrica, data de validade, nome, endereço, telefone e CNPJ do fabricante. . Prazo de validade mínimo de 03 (três meses). </t>
    </r>
    <r>
      <rPr>
        <i/>
        <sz val="9"/>
        <color theme="1"/>
        <rFont val="Arial"/>
        <family val="2"/>
      </rPr>
      <t>Referências: Alta Coppo/ Copobras-PP (cx. azul)/Copaza/Zanatta, Coposul</t>
    </r>
  </si>
  <si>
    <t>Fardo com 08 pacotes</t>
  </si>
  <si>
    <t>Pacote com 1000 folhas</t>
  </si>
  <si>
    <t>SACOS PARA RESÍDUOS</t>
  </si>
  <si>
    <t>EPC</t>
  </si>
  <si>
    <t>Placas de sinalização (cavalete) "Interditado" em polipropileno de alta resistência na cor amarela, tamanho aproximado de 30cm x 15cm x 65cm.</t>
  </si>
  <si>
    <t>ACESSÓRIOS</t>
  </si>
  <si>
    <t>Adaptador de tomada 3 pinos T (benjamin) - padrão novo</t>
  </si>
  <si>
    <t>Adaptador de tomara 3 pinos T (benjamin) - padrão antigo</t>
  </si>
  <si>
    <t>Cabo extensor telescópico regulável em alumínio p/ vassouras, rodos e similares - 3 metros</t>
  </si>
  <si>
    <t>Espátula ou Raspador.</t>
  </si>
  <si>
    <t>Mangueira para jardim com 3 camadas, malha trançada de poliéster e capa externa, diâmetro 1/2 polegadas, comprimento de 10 metros, com adaptador para torneira, um esguicho e um engate rápido.</t>
  </si>
  <si>
    <t>Mangueira para jardim com 3 camadas, malha trançada de poliéster e capa externa, diâmetro 1/2 polegadas, comprimento de 30 metros, com adaptador para torneira, um esguicho e um engate rápido.</t>
  </si>
  <si>
    <r>
      <t xml:space="preserve">Vassoura, com cerdas de nylon, base em alumínio resistente, cerdas com comprimento mínimo (saliente) de 11cm e espessura média de 0,8mm, dispostas em no mínimo 4 carreiras de tufos justapostos homogêneos de modo a preencher toda a base, a fixação das cerdas à base deverá ser firme e resistente, cabo de alumínio plastificado medindo mínimo 1,20m, com emborrachado na ponta para rosquear com facilidade na base da vassoura e com gancho na outra ponta do cabo para pendurar, com perfeito acabamento, uso doméstico. </t>
    </r>
    <r>
      <rPr>
        <b/>
        <sz val="9"/>
        <color rgb="FF000000"/>
        <rFont val="Arial"/>
        <family val="2"/>
      </rPr>
      <t>DEVERÁ SER FORNECIDO 01 VASSOURA POR FUNCIONÁRIO DE BANHEIRO NO PRIMEIRO DIA DE PRESTAÇÃO DO SERVIÇO, SENDO QUE A TROCA SERÁ EFETUADA CASO HAJA AVARIAS/DANOS OU REDUÇÃO DA EFECIÊNCIA DO MATERIAL, FICANDO A CONTRATADA OBRIGADA A REPOR DE IMEDIATO ESTE MATERIAL.</t>
    </r>
  </si>
  <si>
    <t>SERVENTE 24H - SEMANAIS
CASCAVEL/PARANÁ</t>
  </si>
  <si>
    <t>Simples Nacional</t>
  </si>
  <si>
    <t>SERVENTE 24H SEMANAIS
LONDRINA/PARANÁ</t>
  </si>
  <si>
    <t>SERVENTE 24H SEMANAIS
MARINGÁ/PARANÁ</t>
  </si>
  <si>
    <t>PROPOSTA COMERCIAL</t>
  </si>
  <si>
    <t>Validade da proposta 60 dias</t>
  </si>
  <si>
    <t>Removedor (detergente) de ceras concentrado. Age como desengraxante e desengordurante de pisos e paredes. (Similar ao REMOVIT - Becker)</t>
  </si>
  <si>
    <t>Pasta para limpeza a seco multiuso</t>
  </si>
  <si>
    <t>Unidade 500gr</t>
  </si>
  <si>
    <t>Pasta Cristal Rosa Multiuso, desengraxante, desengordurante e de polimento.</t>
  </si>
  <si>
    <t>Mangueira para jardim com 3 camadas, malha trançada de poliéster e capa externa, diâmetro 1/2 polegadas, comprimento de 50 metros, com adaptador para torneira, um esguicho e um engate rápido.</t>
  </si>
  <si>
    <t xml:space="preserve">CNPJ/MF nº -                                                                                                                                                                                     </t>
  </si>
  <si>
    <t>licitação nº 08/2020</t>
  </si>
  <si>
    <t>Nº do Processo 042/2020</t>
  </si>
  <si>
    <t xml:space="preserve">NOME DA EMPRESA: </t>
  </si>
  <si>
    <t xml:space="preserve">CNPJ: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</si>
</sst>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R$&quot;\ * #,##0.00_-;\-&quot;R$&quot;\ * #,##0.00_-;_-&quot;R$&quot;\ * &quot;-&quot;??_-;_-@_-"/>
    <numFmt numFmtId="43" formatCode="_-* #,##0.00_-;\-* #,##0.00_-;_-* &quot;-&quot;??_-;_-@_-"/>
    <numFmt numFmtId="164" formatCode="_-&quot;R$&quot;* #,##0.00_-;\-&quot;R$&quot;* #,##0.00_-;_-&quot;R$&quot;* &quot;-&quot;??_-;_-@_-"/>
    <numFmt numFmtId="165" formatCode="[$R$-416]\ #,##0.00;[Red]\-[$R$-416]\ #,##0.00"/>
    <numFmt numFmtId="166" formatCode="#,##0.0\ ;\-#,##0.0\ ;&quot; -&quot;#\ ;@\ "/>
    <numFmt numFmtId="167" formatCode="0.000%"/>
    <numFmt numFmtId="168" formatCode="0.00000%"/>
    <numFmt numFmtId="169" formatCode="#,##0.00\ ;\-#,##0.00\ ;&quot; -&quot;#.0\ ;@\ "/>
    <numFmt numFmtId="170" formatCode="&quot;R$ &quot;#,##0.00_);&quot;(R$ &quot;#,##0.00\)"/>
    <numFmt numFmtId="171" formatCode="0.0000000"/>
    <numFmt numFmtId="172" formatCode="_(* #,##0.00_);_(* \(#,##0.00\);_(* &quot;-&quot;??_);_(@_)"/>
    <numFmt numFmtId="173" formatCode="0.0000"/>
    <numFmt numFmtId="174" formatCode="_(* #,##0.00000000_);_(* \(#,##0.00000000\);_(* &quot;-&quot;??_);_(@_)"/>
    <numFmt numFmtId="175" formatCode="_(&quot;R$ &quot;* #,##0.00_);_(&quot;R$ &quot;* \(#,##0.00\);_(&quot;R$ &quot;* &quot;-&quot;??_);_(@_)"/>
    <numFmt numFmtId="176" formatCode="0.00000000"/>
    <numFmt numFmtId="177" formatCode="_(* #,##0.000_);_(* \(#,##0.000\);_(* &quot;-&quot;??_);_(@_)"/>
    <numFmt numFmtId="178" formatCode="_-* #,##0.000_-;\-* #,##0.000_-;_-* &quot;-&quot;??_-;_-@_-"/>
    <numFmt numFmtId="179" formatCode="&quot;R$ &quot;#,##0.00"/>
    <numFmt numFmtId="180" formatCode="_(* #,##0.00000000000_);_(* \(#,##0.00000000000\);_(* &quot;-&quot;??_);_(@_)"/>
    <numFmt numFmtId="181" formatCode="_(* #,##0_);_(* \(#,##0\);_(* &quot;-&quot;??_);_(@_)"/>
    <numFmt numFmtId="182" formatCode="&quot;R$&quot;\ #,##0.00"/>
    <numFmt numFmtId="183" formatCode="0.0%"/>
    <numFmt numFmtId="184" formatCode="_(* #,##0.00_);_(* \(#,##0.00\);_(* \-??_);_(@_)"/>
    <numFmt numFmtId="185" formatCode="0.0"/>
    <numFmt numFmtId="186" formatCode="_-[$R$-416]\ * #,##0.00_-;\-[$R$-416]\ * #,##0.00_-;_-[$R$-416]\ * &quot;-&quot;??_-;_-@_-"/>
    <numFmt numFmtId="187" formatCode="&quot;R$&quot;#,##0.00"/>
  </numFmts>
  <fonts count="78">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0"/>
      <name val="Arial"/>
      <family val="2"/>
    </font>
    <font>
      <sz val="11"/>
      <name val="Calibri"/>
      <family val="2"/>
      <scheme val="minor"/>
    </font>
    <font>
      <b/>
      <sz val="9"/>
      <color indexed="8"/>
      <name val="Segoe UI"/>
      <family val="2"/>
    </font>
    <font>
      <b/>
      <sz val="8"/>
      <color indexed="81"/>
      <name val="Tahoma"/>
      <family val="2"/>
    </font>
    <font>
      <sz val="8"/>
      <color indexed="81"/>
      <name val="Tahoma"/>
      <family val="2"/>
    </font>
    <font>
      <b/>
      <sz val="11"/>
      <name val="Calibri"/>
      <family val="2"/>
      <scheme val="minor"/>
    </font>
    <font>
      <b/>
      <sz val="11"/>
      <color rgb="FFFF0000"/>
      <name val="Calibri"/>
      <family val="2"/>
      <scheme val="minor"/>
    </font>
    <font>
      <b/>
      <i/>
      <sz val="11"/>
      <name val="Calibri"/>
      <family val="2"/>
      <scheme val="minor"/>
    </font>
    <font>
      <i/>
      <sz val="11"/>
      <name val="Calibri"/>
      <family val="2"/>
      <scheme val="minor"/>
    </font>
    <font>
      <sz val="11"/>
      <color rgb="FF000000"/>
      <name val="Calibri"/>
      <family val="2"/>
      <scheme val="minor"/>
    </font>
    <font>
      <b/>
      <sz val="11"/>
      <color rgb="FF0070C0"/>
      <name val="Calibri"/>
      <family val="2"/>
      <scheme val="minor"/>
    </font>
    <font>
      <u/>
      <sz val="11"/>
      <name val="Calibri"/>
      <family val="2"/>
      <scheme val="minor"/>
    </font>
    <font>
      <b/>
      <u/>
      <sz val="11"/>
      <name val="Calibri"/>
      <family val="2"/>
      <scheme val="minor"/>
    </font>
    <font>
      <sz val="10"/>
      <color theme="1"/>
      <name val="Calibri"/>
      <family val="2"/>
      <scheme val="minor"/>
    </font>
    <font>
      <sz val="11"/>
      <color indexed="8"/>
      <name val="Calibri"/>
      <family val="2"/>
      <charset val="1"/>
    </font>
    <font>
      <b/>
      <i/>
      <sz val="10"/>
      <name val="Calibri"/>
      <family val="2"/>
      <scheme val="minor"/>
    </font>
    <font>
      <i/>
      <sz val="10"/>
      <name val="Calibri"/>
      <family val="2"/>
      <scheme val="minor"/>
    </font>
    <font>
      <i/>
      <sz val="10"/>
      <color rgb="FFFF0000"/>
      <name val="Calibri"/>
      <family val="2"/>
      <scheme val="minor"/>
    </font>
    <font>
      <i/>
      <sz val="10"/>
      <color rgb="FF000000"/>
      <name val="Calibri"/>
      <family val="2"/>
      <scheme val="minor"/>
    </font>
    <font>
      <b/>
      <i/>
      <sz val="10"/>
      <color rgb="FFFF0000"/>
      <name val="Calibri"/>
      <family val="2"/>
      <scheme val="minor"/>
    </font>
    <font>
      <b/>
      <i/>
      <sz val="10"/>
      <color rgb="FF0070C0"/>
      <name val="Calibri"/>
      <family val="2"/>
      <scheme val="minor"/>
    </font>
    <font>
      <b/>
      <i/>
      <sz val="10"/>
      <color theme="0"/>
      <name val="Calibri"/>
      <family val="2"/>
      <scheme val="minor"/>
    </font>
    <font>
      <i/>
      <u/>
      <sz val="10"/>
      <name val="Calibri"/>
      <family val="2"/>
      <scheme val="minor"/>
    </font>
    <font>
      <b/>
      <i/>
      <u/>
      <sz val="1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b/>
      <sz val="20"/>
      <color indexed="8"/>
      <name val="Calibri"/>
      <family val="2"/>
    </font>
    <font>
      <b/>
      <sz val="11"/>
      <color indexed="8"/>
      <name val="Calibri"/>
      <family val="2"/>
    </font>
    <font>
      <u/>
      <sz val="11"/>
      <color indexed="8"/>
      <name val="Calibri"/>
      <family val="2"/>
    </font>
    <font>
      <sz val="11"/>
      <color indexed="12"/>
      <name val="Calibri"/>
      <family val="2"/>
    </font>
    <font>
      <sz val="11"/>
      <color indexed="8"/>
      <name val="Calibri"/>
      <family val="2"/>
    </font>
    <font>
      <sz val="11"/>
      <name val="Calibri"/>
      <family val="2"/>
    </font>
    <font>
      <sz val="9"/>
      <color indexed="8"/>
      <name val="Calibri"/>
      <family val="2"/>
    </font>
    <font>
      <sz val="10"/>
      <color indexed="8"/>
      <name val="Calibri"/>
      <family val="2"/>
    </font>
    <font>
      <b/>
      <sz val="11"/>
      <name val="Calibri"/>
      <family val="2"/>
    </font>
    <font>
      <b/>
      <sz val="16"/>
      <color indexed="8"/>
      <name val="Calibri"/>
      <family val="2"/>
    </font>
    <font>
      <sz val="7"/>
      <color indexed="8"/>
      <name val="Arial"/>
      <family val="2"/>
    </font>
    <font>
      <b/>
      <sz val="7"/>
      <color indexed="8"/>
      <name val="Arial"/>
      <family val="2"/>
    </font>
    <font>
      <b/>
      <i/>
      <sz val="9"/>
      <color rgb="FFFF0000"/>
      <name val="Calibri"/>
      <family val="2"/>
      <scheme val="minor"/>
    </font>
    <font>
      <b/>
      <i/>
      <sz val="9"/>
      <color theme="0"/>
      <name val="Calibri"/>
      <family val="2"/>
      <scheme val="minor"/>
    </font>
    <font>
      <b/>
      <i/>
      <sz val="9"/>
      <name val="Calibri"/>
      <family val="2"/>
      <scheme val="minor"/>
    </font>
    <font>
      <b/>
      <i/>
      <sz val="9"/>
      <color theme="1"/>
      <name val="Calibri"/>
      <family val="2"/>
      <scheme val="minor"/>
    </font>
    <font>
      <i/>
      <sz val="9"/>
      <name val="Calibri"/>
      <family val="2"/>
      <scheme val="minor"/>
    </font>
    <font>
      <sz val="11"/>
      <color indexed="8"/>
      <name val="Calibri"/>
      <family val="2"/>
    </font>
    <font>
      <i/>
      <sz val="10"/>
      <color theme="0"/>
      <name val="Calibri"/>
      <family val="2"/>
      <scheme val="minor"/>
    </font>
    <font>
      <sz val="10"/>
      <name val="Arial"/>
      <family val="2"/>
      <charset val="1"/>
    </font>
    <font>
      <i/>
      <sz val="9"/>
      <color rgb="FFFF0000"/>
      <name val="Calibri"/>
      <family val="2"/>
      <scheme val="minor"/>
    </font>
    <font>
      <sz val="11"/>
      <color theme="0"/>
      <name val="Calibri"/>
      <family val="2"/>
      <scheme val="minor"/>
    </font>
    <font>
      <u/>
      <sz val="11"/>
      <color theme="10"/>
      <name val="Calibri"/>
      <family val="2"/>
      <scheme val="minor"/>
    </font>
    <font>
      <sz val="11"/>
      <color rgb="FF0A0A0A"/>
      <name val="Roboto"/>
    </font>
    <font>
      <b/>
      <sz val="18"/>
      <color indexed="56"/>
      <name val="Cambria"/>
      <family val="2"/>
    </font>
    <font>
      <b/>
      <i/>
      <sz val="10"/>
      <color indexed="18"/>
      <name val="Calibri"/>
      <family val="2"/>
      <scheme val="minor"/>
    </font>
    <font>
      <b/>
      <i/>
      <sz val="10"/>
      <color indexed="12"/>
      <name val="Calibri"/>
      <family val="2"/>
      <scheme val="minor"/>
    </font>
    <font>
      <sz val="9"/>
      <color theme="1"/>
      <name val="Arial"/>
      <family val="2"/>
    </font>
    <font>
      <b/>
      <sz val="8"/>
      <color rgb="FF000000"/>
      <name val="Arial"/>
      <family val="2"/>
    </font>
    <font>
      <sz val="9"/>
      <name val="Arial"/>
      <family val="2"/>
    </font>
    <font>
      <b/>
      <sz val="9"/>
      <color theme="1"/>
      <name val="Arial"/>
      <family val="2"/>
    </font>
    <font>
      <b/>
      <sz val="14"/>
      <color rgb="FF000000"/>
      <name val="Arial"/>
      <family val="2"/>
    </font>
    <font>
      <sz val="9"/>
      <color rgb="FF000000"/>
      <name val="Arial"/>
      <family val="2"/>
    </font>
    <font>
      <b/>
      <sz val="9"/>
      <name val="Arial"/>
      <family val="2"/>
    </font>
    <font>
      <b/>
      <sz val="9"/>
      <color rgb="FFFF0000"/>
      <name val="Arial"/>
      <family val="2"/>
    </font>
    <font>
      <b/>
      <sz val="9"/>
      <color rgb="FF000000"/>
      <name val="Arial"/>
      <family val="2"/>
    </font>
    <font>
      <b/>
      <sz val="14"/>
      <color theme="1"/>
      <name val="Calibri"/>
      <family val="2"/>
      <scheme val="minor"/>
    </font>
    <font>
      <sz val="8"/>
      <color rgb="FF000000"/>
      <name val="Arial"/>
      <family val="2"/>
    </font>
    <font>
      <sz val="8"/>
      <color theme="1"/>
      <name val="Arial"/>
      <family val="2"/>
    </font>
    <font>
      <i/>
      <sz val="9"/>
      <color theme="1"/>
      <name val="Arial"/>
      <family val="2"/>
    </font>
    <font>
      <b/>
      <sz val="16"/>
      <color indexed="8"/>
      <name val="Arial"/>
      <family val="2"/>
    </font>
    <font>
      <b/>
      <sz val="10"/>
      <color indexed="8"/>
      <name val="Arial"/>
      <family val="2"/>
    </font>
    <font>
      <i/>
      <sz val="14"/>
      <color theme="1"/>
      <name val="Calibri"/>
      <family val="2"/>
      <scheme val="minor"/>
    </font>
    <font>
      <sz val="14"/>
      <color theme="1"/>
      <name val="Calibri"/>
      <family val="2"/>
      <scheme val="minor"/>
    </font>
    <font>
      <sz val="12"/>
      <name val="Arial"/>
      <family val="2"/>
    </font>
    <font>
      <b/>
      <sz val="11"/>
      <color theme="1"/>
      <name val="Calibri"/>
      <family val="2"/>
      <scheme val="minor"/>
    </font>
    <font>
      <sz val="9"/>
      <color rgb="FFFF0000"/>
      <name val="Arial"/>
      <family val="2"/>
    </font>
  </fonts>
  <fills count="45">
    <fill>
      <patternFill patternType="none"/>
    </fill>
    <fill>
      <patternFill patternType="gray125"/>
    </fill>
    <fill>
      <patternFill patternType="solid">
        <fgColor indexed="51"/>
        <bgColor indexed="13"/>
      </patternFill>
    </fill>
    <fill>
      <patternFill patternType="solid">
        <fgColor theme="0"/>
        <bgColor indexed="13"/>
      </patternFill>
    </fill>
    <fill>
      <patternFill patternType="solid">
        <fgColor theme="1"/>
        <bgColor indexed="24"/>
      </patternFill>
    </fill>
    <fill>
      <patternFill patternType="solid">
        <fgColor theme="1"/>
        <bgColor indexed="64"/>
      </patternFill>
    </fill>
    <fill>
      <patternFill patternType="solid">
        <fgColor theme="0" tint="-0.14999847407452621"/>
        <bgColor indexed="64"/>
      </patternFill>
    </fill>
    <fill>
      <patternFill patternType="solid">
        <fgColor indexed="9"/>
        <bgColor indexed="26"/>
      </patternFill>
    </fill>
    <fill>
      <patternFill patternType="solid">
        <fgColor rgb="FFFFC000"/>
        <bgColor indexed="64"/>
      </patternFill>
    </fill>
    <fill>
      <patternFill patternType="solid">
        <fgColor theme="0"/>
        <bgColor indexed="41"/>
      </patternFill>
    </fill>
    <fill>
      <patternFill patternType="solid">
        <fgColor rgb="FFFFC000"/>
        <bgColor indexed="26"/>
      </patternFill>
    </fill>
    <fill>
      <patternFill patternType="solid">
        <fgColor theme="0" tint="-0.14999847407452621"/>
        <bgColor indexed="21"/>
      </patternFill>
    </fill>
    <fill>
      <patternFill patternType="solid">
        <fgColor theme="0" tint="-0.14999847407452621"/>
        <bgColor indexed="41"/>
      </patternFill>
    </fill>
    <fill>
      <patternFill patternType="solid">
        <fgColor theme="0" tint="-0.14999847407452621"/>
        <bgColor indexed="49"/>
      </patternFill>
    </fill>
    <fill>
      <patternFill patternType="solid">
        <fgColor theme="0"/>
        <bgColor indexed="64"/>
      </patternFill>
    </fill>
    <fill>
      <patternFill patternType="solid">
        <fgColor theme="9" tint="-0.249977111117893"/>
        <bgColor indexed="64"/>
      </patternFill>
    </fill>
    <fill>
      <patternFill patternType="solid">
        <fgColor theme="0" tint="-9.9978637043366805E-2"/>
        <bgColor indexed="64"/>
      </patternFill>
    </fill>
    <fill>
      <patternFill patternType="solid">
        <fgColor indexed="43"/>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theme="0"/>
        <bgColor indexed="26"/>
      </patternFill>
    </fill>
    <fill>
      <patternFill patternType="solid">
        <fgColor rgb="FFFFCCFF"/>
        <bgColor indexed="64"/>
      </patternFill>
    </fill>
    <fill>
      <patternFill patternType="solid">
        <fgColor rgb="FFFFCCFF"/>
        <bgColor indexed="26"/>
      </patternFill>
    </fill>
    <fill>
      <patternFill patternType="solid">
        <fgColor indexed="24"/>
        <bgColor indexed="22"/>
      </patternFill>
    </fill>
    <fill>
      <patternFill patternType="solid">
        <fgColor rgb="FF92D050"/>
        <bgColor indexed="64"/>
      </patternFill>
    </fill>
    <fill>
      <patternFill patternType="solid">
        <fgColor theme="2"/>
        <bgColor indexed="64"/>
      </patternFill>
    </fill>
    <fill>
      <patternFill patternType="solid">
        <fgColor theme="5" tint="0.79998168889431442"/>
        <bgColor indexed="64"/>
      </patternFill>
    </fill>
    <fill>
      <patternFill patternType="solid">
        <fgColor rgb="FFE5D8E8"/>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A3DDCF"/>
        <bgColor indexed="64"/>
      </patternFill>
    </fill>
    <fill>
      <patternFill patternType="solid">
        <fgColor rgb="FFE0E286"/>
        <bgColor indexed="64"/>
      </patternFill>
    </fill>
    <fill>
      <patternFill patternType="solid">
        <fgColor rgb="FFE5BAB9"/>
        <bgColor indexed="64"/>
      </patternFill>
    </fill>
    <fill>
      <patternFill patternType="solid">
        <fgColor rgb="FF9BDCF3"/>
        <bgColor indexed="64"/>
      </patternFill>
    </fill>
    <fill>
      <patternFill patternType="solid">
        <fgColor rgb="FFEBC7F1"/>
        <bgColor indexed="64"/>
      </patternFill>
    </fill>
    <fill>
      <patternFill patternType="solid">
        <fgColor rgb="FFBECAF0"/>
        <bgColor indexed="64"/>
      </patternFill>
    </fill>
    <fill>
      <patternFill patternType="solid">
        <fgColor rgb="FFC0EAC5"/>
        <bgColor indexed="64"/>
      </patternFill>
    </fill>
    <fill>
      <patternFill patternType="solid">
        <fgColor rgb="FFF8E678"/>
        <bgColor indexed="64"/>
      </patternFill>
    </fill>
    <fill>
      <patternFill patternType="solid">
        <fgColor rgb="FFFFFFFF"/>
        <bgColor indexed="64"/>
      </patternFill>
    </fill>
    <fill>
      <patternFill patternType="solid">
        <fgColor theme="9" tint="0.59999389629810485"/>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8"/>
      </right>
      <top style="thin">
        <color indexed="8"/>
      </top>
      <bottom style="thin">
        <color indexed="63"/>
      </bottom>
      <diagonal/>
    </border>
    <border>
      <left/>
      <right/>
      <top style="medium">
        <color indexed="64"/>
      </top>
      <bottom style="thin">
        <color indexed="8"/>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0" fontId="18" fillId="0" borderId="0"/>
    <xf numFmtId="0" fontId="48" fillId="0" borderId="0" applyFill="0" applyProtection="0"/>
    <xf numFmtId="0" fontId="50" fillId="0" borderId="0"/>
    <xf numFmtId="0" fontId="53" fillId="0" borderId="0" applyNumberFormat="0" applyFill="0" applyBorder="0" applyAlignment="0" applyProtection="0"/>
    <xf numFmtId="0" fontId="4" fillId="0" borderId="0"/>
    <xf numFmtId="184" fontId="4" fillId="0" borderId="0" applyFill="0" applyBorder="0" applyAlignment="0" applyProtection="0"/>
    <xf numFmtId="0" fontId="55" fillId="0" borderId="0" applyNumberFormat="0" applyFill="0" applyBorder="0" applyAlignment="0" applyProtection="0"/>
  </cellStyleXfs>
  <cellXfs count="968">
    <xf numFmtId="0" fontId="0" fillId="0" borderId="0" xfId="0"/>
    <xf numFmtId="0" fontId="5" fillId="0" borderId="0" xfId="0" applyFont="1"/>
    <xf numFmtId="0" fontId="5" fillId="0" borderId="0" xfId="0" applyFont="1" applyBorder="1"/>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8" xfId="0" applyFont="1" applyBorder="1" applyAlignment="1" applyProtection="1">
      <alignment horizontal="center" vertical="center"/>
    </xf>
    <xf numFmtId="0" fontId="5" fillId="0" borderId="9" xfId="0" applyFont="1" applyBorder="1" applyAlignment="1" applyProtection="1">
      <alignment vertical="center"/>
    </xf>
    <xf numFmtId="44" fontId="5" fillId="12" borderId="10" xfId="2" applyFont="1" applyFill="1" applyBorder="1" applyAlignment="1">
      <alignment horizontal="center" vertical="center" wrapText="1"/>
    </xf>
    <xf numFmtId="0" fontId="5" fillId="12" borderId="10" xfId="0" applyFont="1" applyFill="1" applyBorder="1" applyAlignment="1" applyProtection="1">
      <alignment horizontal="center" vertical="center"/>
    </xf>
    <xf numFmtId="44" fontId="5" fillId="8" borderId="10" xfId="2" applyFont="1" applyFill="1" applyBorder="1" applyAlignment="1">
      <alignment horizontal="center" vertical="center" wrapText="1"/>
    </xf>
    <xf numFmtId="166" fontId="5" fillId="0" borderId="10" xfId="0" applyNumberFormat="1" applyFont="1" applyFill="1" applyBorder="1" applyAlignment="1" applyProtection="1">
      <alignment horizontal="center" vertical="center"/>
      <protection locked="0"/>
    </xf>
    <xf numFmtId="10" fontId="5" fillId="2" borderId="10" xfId="3" applyNumberFormat="1" applyFont="1" applyFill="1" applyBorder="1" applyAlignment="1" applyProtection="1">
      <alignment horizontal="center" vertical="center"/>
    </xf>
    <xf numFmtId="44" fontId="5" fillId="0" borderId="10" xfId="2" applyFont="1" applyBorder="1" applyAlignment="1">
      <alignment horizontal="center" vertical="center" wrapText="1"/>
    </xf>
    <xf numFmtId="165" fontId="5" fillId="0" borderId="0" xfId="4" applyNumberFormat="1" applyFont="1" applyFill="1" applyBorder="1" applyAlignment="1">
      <alignment horizontal="center" vertical="center" wrapText="1"/>
    </xf>
    <xf numFmtId="10" fontId="3" fillId="2" borderId="10" xfId="3" applyNumberFormat="1" applyFont="1" applyFill="1" applyBorder="1" applyAlignment="1" applyProtection="1">
      <alignment horizontal="center" vertical="center"/>
    </xf>
    <xf numFmtId="44" fontId="9" fillId="0" borderId="0" xfId="2" applyFont="1" applyFill="1" applyBorder="1" applyAlignment="1" applyProtection="1">
      <alignment horizontal="center" vertical="center"/>
    </xf>
    <xf numFmtId="0" fontId="5" fillId="7" borderId="0" xfId="0" applyFont="1" applyFill="1" applyBorder="1" applyAlignment="1" applyProtection="1">
      <alignment vertical="center"/>
    </xf>
    <xf numFmtId="0" fontId="5" fillId="7" borderId="0" xfId="0" applyFont="1" applyFill="1" applyBorder="1" applyAlignment="1" applyProtection="1">
      <alignment horizontal="center" vertical="center"/>
    </xf>
    <xf numFmtId="44" fontId="5" fillId="0" borderId="0" xfId="2" applyFont="1"/>
    <xf numFmtId="44" fontId="5" fillId="2" borderId="10" xfId="2" applyFont="1" applyFill="1" applyBorder="1" applyAlignment="1" applyProtection="1">
      <alignment horizontal="center" vertical="center"/>
      <protection locked="0"/>
    </xf>
    <xf numFmtId="0" fontId="5" fillId="7" borderId="0" xfId="0" applyFont="1" applyFill="1" applyAlignment="1" applyProtection="1">
      <alignment vertical="center"/>
    </xf>
    <xf numFmtId="0" fontId="5" fillId="7" borderId="0" xfId="0" applyFont="1" applyFill="1" applyAlignment="1" applyProtection="1">
      <alignment horizontal="center" vertical="center"/>
    </xf>
    <xf numFmtId="166" fontId="5" fillId="7" borderId="0" xfId="0" applyNumberFormat="1" applyFont="1" applyFill="1" applyAlignment="1" applyProtection="1">
      <alignment vertical="center"/>
    </xf>
    <xf numFmtId="0" fontId="3" fillId="0" borderId="0" xfId="0" applyFont="1"/>
    <xf numFmtId="0" fontId="5" fillId="0" borderId="0" xfId="0" applyFont="1" applyAlignment="1">
      <alignment wrapText="1"/>
    </xf>
    <xf numFmtId="0" fontId="5" fillId="9" borderId="0" xfId="0" applyFont="1" applyFill="1" applyBorder="1" applyAlignment="1" applyProtection="1">
      <alignment vertical="center"/>
    </xf>
    <xf numFmtId="0" fontId="5" fillId="9" borderId="0" xfId="0" applyFont="1" applyFill="1" applyBorder="1" applyAlignment="1" applyProtection="1">
      <alignment horizontal="center" vertical="center"/>
    </xf>
    <xf numFmtId="10" fontId="12" fillId="2" borderId="10" xfId="0" applyNumberFormat="1" applyFont="1" applyFill="1" applyBorder="1" applyAlignment="1" applyProtection="1">
      <alignment horizontal="center" vertical="center"/>
      <protection locked="0"/>
    </xf>
    <xf numFmtId="44" fontId="5" fillId="0" borderId="10" xfId="2" applyFont="1" applyBorder="1" applyAlignment="1">
      <alignment horizontal="center" vertical="center"/>
    </xf>
    <xf numFmtId="0" fontId="13" fillId="0" borderId="0" xfId="0" applyFont="1"/>
    <xf numFmtId="9" fontId="10" fillId="2" borderId="10" xfId="3" applyFont="1" applyFill="1" applyBorder="1" applyAlignment="1" applyProtection="1">
      <alignment horizontal="center" vertical="center"/>
      <protection locked="0"/>
    </xf>
    <xf numFmtId="10" fontId="12" fillId="0" borderId="10" xfId="0" applyNumberFormat="1" applyFont="1" applyFill="1" applyBorder="1" applyAlignment="1" applyProtection="1">
      <alignment horizontal="center" vertical="center"/>
      <protection locked="0"/>
    </xf>
    <xf numFmtId="0" fontId="5" fillId="0" borderId="0" xfId="0" applyFont="1" applyAlignment="1">
      <alignment horizontal="center"/>
    </xf>
    <xf numFmtId="166" fontId="5" fillId="0" borderId="0" xfId="0" applyNumberFormat="1" applyFont="1"/>
    <xf numFmtId="10" fontId="5" fillId="7" borderId="10" xfId="0" applyNumberFormat="1" applyFont="1" applyFill="1" applyBorder="1" applyAlignment="1" applyProtection="1">
      <alignment horizontal="center" vertical="center"/>
    </xf>
    <xf numFmtId="10" fontId="5" fillId="2" borderId="10" xfId="3" applyNumberFormat="1" applyFont="1" applyFill="1" applyBorder="1" applyAlignment="1" applyProtection="1">
      <alignment horizontal="center" vertical="center"/>
      <protection locked="0"/>
    </xf>
    <xf numFmtId="10" fontId="5" fillId="10" borderId="10" xfId="0" applyNumberFormat="1" applyFont="1" applyFill="1" applyBorder="1" applyAlignment="1" applyProtection="1">
      <alignment horizontal="center" vertical="center"/>
    </xf>
    <xf numFmtId="0" fontId="5" fillId="9" borderId="0"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10" fontId="14" fillId="2" borderId="10" xfId="3" applyNumberFormat="1" applyFont="1" applyFill="1" applyBorder="1" applyAlignment="1" applyProtection="1">
      <alignment horizontal="center" vertical="center"/>
    </xf>
    <xf numFmtId="0" fontId="5" fillId="7" borderId="10" xfId="0" applyFont="1" applyFill="1" applyBorder="1" applyAlignment="1" applyProtection="1">
      <alignment horizontal="center" vertical="center"/>
    </xf>
    <xf numFmtId="10" fontId="5" fillId="0" borderId="10" xfId="0" applyNumberFormat="1" applyFont="1" applyFill="1" applyBorder="1" applyAlignment="1" applyProtection="1">
      <alignment horizontal="center" vertical="center"/>
      <protection locked="0"/>
    </xf>
    <xf numFmtId="169" fontId="5" fillId="2" borderId="10" xfId="0" applyNumberFormat="1" applyFont="1" applyFill="1" applyBorder="1" applyAlignment="1" applyProtection="1">
      <alignment horizontal="center" vertical="center"/>
    </xf>
    <xf numFmtId="169" fontId="5" fillId="2" borderId="10" xfId="3" applyNumberFormat="1" applyFont="1" applyFill="1" applyBorder="1" applyAlignment="1" applyProtection="1">
      <alignment horizontal="center" vertical="center"/>
    </xf>
    <xf numFmtId="166" fontId="5" fillId="2" borderId="10" xfId="0" applyNumberFormat="1" applyFont="1" applyFill="1" applyBorder="1" applyAlignment="1" applyProtection="1">
      <alignment horizontal="center" vertical="center"/>
    </xf>
    <xf numFmtId="10" fontId="5" fillId="2" borderId="10" xfId="0" applyNumberFormat="1" applyFont="1" applyFill="1" applyBorder="1" applyAlignment="1" applyProtection="1">
      <alignment horizontal="center" vertical="center"/>
      <protection locked="0"/>
    </xf>
    <xf numFmtId="10" fontId="5" fillId="0" borderId="10" xfId="0" applyNumberFormat="1" applyFont="1" applyFill="1" applyBorder="1" applyAlignment="1" applyProtection="1">
      <alignment horizontal="center" vertical="center"/>
    </xf>
    <xf numFmtId="44" fontId="5" fillId="0" borderId="10" xfId="2" applyFont="1" applyBorder="1"/>
    <xf numFmtId="0" fontId="5" fillId="0" borderId="0" xfId="4" applyFont="1" applyFill="1" applyBorder="1" applyAlignment="1">
      <alignment horizontal="center" vertical="center" wrapText="1"/>
    </xf>
    <xf numFmtId="44" fontId="5" fillId="0" borderId="0" xfId="2" applyFont="1" applyFill="1" applyBorder="1" applyAlignment="1">
      <alignment horizontal="center" vertical="center" wrapText="1"/>
    </xf>
    <xf numFmtId="165" fontId="5" fillId="0" borderId="0" xfId="0" applyNumberFormat="1" applyFont="1"/>
    <xf numFmtId="0" fontId="5" fillId="7" borderId="0" xfId="0" applyFont="1" applyFill="1" applyProtection="1"/>
    <xf numFmtId="0" fontId="5" fillId="7" borderId="0" xfId="0" applyFont="1" applyFill="1" applyAlignment="1" applyProtection="1">
      <alignment horizontal="center"/>
    </xf>
    <xf numFmtId="166" fontId="5" fillId="7" borderId="0" xfId="0" applyNumberFormat="1" applyFont="1" applyFill="1" applyProtection="1"/>
    <xf numFmtId="44" fontId="5" fillId="0" borderId="10" xfId="2" applyFont="1" applyBorder="1" applyAlignment="1">
      <alignment horizontal="center"/>
    </xf>
    <xf numFmtId="44" fontId="12" fillId="0" borderId="10" xfId="2" applyFont="1" applyBorder="1" applyAlignment="1" applyProtection="1">
      <alignment horizontal="center" vertical="center"/>
    </xf>
    <xf numFmtId="0" fontId="9" fillId="0" borderId="10" xfId="0" applyFont="1" applyBorder="1" applyAlignment="1">
      <alignment horizontal="center"/>
    </xf>
    <xf numFmtId="0" fontId="5" fillId="0" borderId="10" xfId="0" applyFont="1" applyBorder="1" applyAlignment="1">
      <alignment horizontal="left"/>
    </xf>
    <xf numFmtId="10" fontId="5" fillId="0" borderId="10" xfId="3" applyNumberFormat="1" applyFont="1" applyBorder="1"/>
    <xf numFmtId="0" fontId="5" fillId="12" borderId="10" xfId="0" applyFont="1" applyFill="1" applyBorder="1" applyAlignment="1" applyProtection="1">
      <alignment horizontal="center" vertical="center"/>
    </xf>
    <xf numFmtId="44" fontId="11" fillId="12" borderId="10" xfId="2" applyFont="1" applyFill="1" applyBorder="1" applyAlignment="1" applyProtection="1">
      <alignment horizontal="center" vertical="center"/>
    </xf>
    <xf numFmtId="44" fontId="12" fillId="12" borderId="10" xfId="2" applyFont="1" applyFill="1" applyBorder="1" applyAlignment="1" applyProtection="1">
      <alignment horizontal="center" vertical="center"/>
    </xf>
    <xf numFmtId="44" fontId="16" fillId="13" borderId="10" xfId="2" applyFont="1" applyFill="1" applyBorder="1" applyAlignment="1" applyProtection="1">
      <alignment horizontal="center" vertical="center" wrapText="1"/>
    </xf>
    <xf numFmtId="166" fontId="5" fillId="2" borderId="10" xfId="1" applyNumberFormat="1" applyFont="1" applyFill="1" applyBorder="1" applyAlignment="1" applyProtection="1">
      <alignment horizontal="center" vertical="center"/>
      <protection locked="0"/>
    </xf>
    <xf numFmtId="44" fontId="5" fillId="0" borderId="0" xfId="0" applyNumberFormat="1" applyFont="1"/>
    <xf numFmtId="10" fontId="9" fillId="2" borderId="10" xfId="3" applyNumberFormat="1" applyFont="1" applyFill="1" applyBorder="1" applyAlignment="1" applyProtection="1">
      <alignment horizontal="center" vertical="center"/>
      <protection locked="0"/>
    </xf>
    <xf numFmtId="0" fontId="12" fillId="7" borderId="10" xfId="0" applyFont="1" applyFill="1" applyBorder="1" applyAlignment="1" applyProtection="1">
      <alignment horizontal="center" vertical="center"/>
    </xf>
    <xf numFmtId="0" fontId="12" fillId="7" borderId="7" xfId="0" applyFont="1" applyFill="1" applyBorder="1" applyAlignment="1" applyProtection="1">
      <alignment horizontal="center" vertical="center"/>
    </xf>
    <xf numFmtId="0" fontId="12" fillId="7" borderId="10" xfId="0" applyFont="1" applyFill="1" applyBorder="1" applyAlignment="1" applyProtection="1">
      <alignment horizontal="center" vertical="center"/>
    </xf>
    <xf numFmtId="0" fontId="5" fillId="12" borderId="10" xfId="0" applyFont="1" applyFill="1" applyBorder="1" applyAlignment="1" applyProtection="1">
      <alignment horizontal="center" vertical="center"/>
    </xf>
    <xf numFmtId="0" fontId="5" fillId="7" borderId="10" xfId="0" applyFont="1" applyFill="1" applyBorder="1" applyAlignment="1" applyProtection="1">
      <alignment horizontal="center" vertical="center"/>
    </xf>
    <xf numFmtId="0" fontId="5" fillId="9" borderId="0" xfId="0" applyFont="1" applyFill="1" applyBorder="1" applyAlignment="1" applyProtection="1">
      <alignment horizontal="center" vertical="center"/>
    </xf>
    <xf numFmtId="0" fontId="17" fillId="0" borderId="10" xfId="0" applyFont="1" applyFill="1" applyBorder="1" applyAlignment="1">
      <alignment horizontal="center" vertical="center" wrapText="1"/>
    </xf>
    <xf numFmtId="0" fontId="5" fillId="7" borderId="10" xfId="0" applyFont="1" applyFill="1" applyBorder="1" applyAlignment="1" applyProtection="1">
      <alignment horizontal="left" vertical="center"/>
    </xf>
    <xf numFmtId="0" fontId="5" fillId="12" borderId="10" xfId="0" applyFont="1" applyFill="1" applyBorder="1" applyAlignment="1" applyProtection="1">
      <alignment horizontal="center" vertical="center"/>
    </xf>
    <xf numFmtId="0" fontId="17" fillId="0" borderId="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5" fillId="12" borderId="10" xfId="0" applyFont="1" applyFill="1" applyBorder="1" applyAlignment="1" applyProtection="1">
      <alignment horizontal="center" vertical="center"/>
    </xf>
    <xf numFmtId="0" fontId="5" fillId="7" borderId="10" xfId="0" applyFont="1" applyFill="1" applyBorder="1" applyAlignment="1" applyProtection="1">
      <alignment vertical="center"/>
    </xf>
    <xf numFmtId="0" fontId="5" fillId="0" borderId="10" xfId="0" applyFont="1" applyFill="1" applyBorder="1" applyAlignment="1" applyProtection="1">
      <alignment horizontal="left" vertical="center"/>
    </xf>
    <xf numFmtId="0" fontId="5" fillId="7" borderId="1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9" xfId="0" applyFont="1" applyFill="1" applyBorder="1" applyAlignment="1" applyProtection="1">
      <alignment horizontal="left" vertical="center"/>
    </xf>
    <xf numFmtId="0" fontId="5" fillId="3" borderId="7"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5" fillId="3" borderId="9" xfId="0" applyFont="1" applyFill="1" applyBorder="1" applyAlignment="1" applyProtection="1">
      <alignment horizontal="right" vertical="center"/>
    </xf>
    <xf numFmtId="9" fontId="5" fillId="2" borderId="7" xfId="0" applyNumberFormat="1"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12" borderId="10" xfId="0" applyFont="1" applyFill="1" applyBorder="1" applyAlignment="1" applyProtection="1">
      <alignment horizontal="center" vertical="center"/>
    </xf>
    <xf numFmtId="0" fontId="5" fillId="12" borderId="10"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167" fontId="5" fillId="7" borderId="10" xfId="0" applyNumberFormat="1" applyFont="1" applyFill="1" applyBorder="1" applyAlignment="1" applyProtection="1">
      <alignment horizontal="center" vertical="center"/>
    </xf>
    <xf numFmtId="0" fontId="5" fillId="6" borderId="10" xfId="0" applyFont="1" applyFill="1" applyBorder="1" applyAlignment="1" applyProtection="1">
      <alignment horizontal="center" vertical="center"/>
    </xf>
    <xf numFmtId="44" fontId="5" fillId="6" borderId="10" xfId="2" applyFont="1" applyFill="1" applyBorder="1" applyAlignment="1">
      <alignment horizontal="center" vertical="center" wrapText="1"/>
    </xf>
    <xf numFmtId="10" fontId="5" fillId="0" borderId="9" xfId="0" applyNumberFormat="1" applyFont="1" applyFill="1" applyBorder="1" applyAlignment="1" applyProtection="1">
      <alignment horizontal="center" vertical="center"/>
    </xf>
    <xf numFmtId="44" fontId="9" fillId="9" borderId="10" xfId="2" applyFont="1" applyFill="1" applyBorder="1" applyAlignment="1" applyProtection="1">
      <alignment horizontal="center" vertical="center"/>
    </xf>
    <xf numFmtId="10" fontId="9" fillId="7" borderId="10" xfId="0" applyNumberFormat="1" applyFont="1" applyFill="1" applyBorder="1" applyAlignment="1" applyProtection="1">
      <alignment horizontal="center" vertical="center"/>
    </xf>
    <xf numFmtId="44" fontId="9" fillId="0" borderId="10" xfId="2" applyFont="1" applyBorder="1" applyAlignment="1">
      <alignment horizontal="center" vertical="center" wrapText="1"/>
    </xf>
    <xf numFmtId="10" fontId="20" fillId="2" borderId="10" xfId="0" applyNumberFormat="1" applyFont="1" applyFill="1" applyBorder="1" applyAlignment="1" applyProtection="1">
      <alignment horizontal="center" vertical="center"/>
      <protection locked="0"/>
    </xf>
    <xf numFmtId="10" fontId="20" fillId="0" borderId="10" xfId="0" applyNumberFormat="1" applyFont="1" applyFill="1" applyBorder="1" applyAlignment="1" applyProtection="1">
      <alignment horizontal="center" vertical="center"/>
      <protection locked="0"/>
    </xf>
    <xf numFmtId="0" fontId="20" fillId="7" borderId="7" xfId="0" applyFont="1" applyFill="1" applyBorder="1" applyAlignment="1" applyProtection="1">
      <alignment horizontal="center" vertical="center"/>
    </xf>
    <xf numFmtId="44" fontId="19" fillId="12" borderId="10" xfId="2" applyFont="1" applyFill="1" applyBorder="1" applyAlignment="1" applyProtection="1">
      <alignment horizontal="center" vertical="center"/>
    </xf>
    <xf numFmtId="44" fontId="20" fillId="12" borderId="10" xfId="2" applyFont="1" applyFill="1" applyBorder="1" applyAlignment="1" applyProtection="1">
      <alignment horizontal="center" vertical="center"/>
    </xf>
    <xf numFmtId="44" fontId="20" fillId="0" borderId="10" xfId="2" applyFont="1" applyBorder="1" applyAlignment="1" applyProtection="1">
      <alignment horizontal="center" vertical="center"/>
    </xf>
    <xf numFmtId="0" fontId="20" fillId="0" borderId="0" xfId="0" applyFont="1"/>
    <xf numFmtId="44" fontId="20" fillId="12" borderId="10" xfId="2" applyFont="1" applyFill="1" applyBorder="1" applyAlignment="1">
      <alignment horizontal="center" vertical="center" wrapText="1"/>
    </xf>
    <xf numFmtId="44" fontId="20" fillId="0" borderId="0" xfId="0" applyNumberFormat="1" applyFont="1"/>
    <xf numFmtId="44" fontId="20" fillId="0" borderId="10" xfId="2" applyFont="1" applyBorder="1" applyAlignment="1">
      <alignment horizontal="center" vertical="center" wrapText="1"/>
    </xf>
    <xf numFmtId="165" fontId="20" fillId="0" borderId="0" xfId="4" applyNumberFormat="1" applyFont="1" applyFill="1" applyBorder="1" applyAlignment="1">
      <alignment horizontal="center" vertical="center" wrapText="1"/>
    </xf>
    <xf numFmtId="44" fontId="19" fillId="9" borderId="10" xfId="2" applyFont="1" applyFill="1" applyBorder="1" applyAlignment="1" applyProtection="1">
      <alignment horizontal="center" vertical="center"/>
    </xf>
    <xf numFmtId="44" fontId="19" fillId="0" borderId="0" xfId="2" applyFont="1" applyFill="1" applyBorder="1" applyAlignment="1" applyProtection="1">
      <alignment horizontal="center" vertical="center"/>
    </xf>
    <xf numFmtId="44" fontId="20" fillId="0" borderId="0" xfId="2" applyFont="1"/>
    <xf numFmtId="0" fontId="20" fillId="0" borderId="10" xfId="0" applyFont="1" applyFill="1" applyBorder="1" applyAlignment="1" applyProtection="1">
      <alignment horizontal="center" vertical="center"/>
    </xf>
    <xf numFmtId="10" fontId="20" fillId="7" borderId="10" xfId="0" applyNumberFormat="1" applyFont="1" applyFill="1" applyBorder="1" applyAlignment="1" applyProtection="1">
      <alignment horizontal="center" vertical="center"/>
    </xf>
    <xf numFmtId="44" fontId="20" fillId="0" borderId="10" xfId="2" applyFont="1" applyBorder="1" applyAlignment="1">
      <alignment horizontal="center" vertical="center"/>
    </xf>
    <xf numFmtId="0" fontId="22" fillId="0" borderId="0" xfId="0" applyFont="1"/>
    <xf numFmtId="10" fontId="20" fillId="0" borderId="0" xfId="3" applyNumberFormat="1" applyFont="1"/>
    <xf numFmtId="9" fontId="23" fillId="2" borderId="10" xfId="3" applyFont="1" applyFill="1" applyBorder="1" applyAlignment="1" applyProtection="1">
      <alignment horizontal="center" vertical="center"/>
      <protection locked="0"/>
    </xf>
    <xf numFmtId="44" fontId="20" fillId="0" borderId="10" xfId="2" applyNumberFormat="1" applyFont="1" applyBorder="1" applyAlignment="1">
      <alignment horizontal="center" vertical="center" wrapText="1"/>
    </xf>
    <xf numFmtId="44" fontId="20" fillId="2" borderId="10" xfId="2" applyFont="1" applyFill="1" applyBorder="1" applyAlignment="1" applyProtection="1">
      <alignment horizontal="center" vertical="center"/>
      <protection locked="0"/>
    </xf>
    <xf numFmtId="10" fontId="19" fillId="7" borderId="10" xfId="0" applyNumberFormat="1" applyFont="1" applyFill="1" applyBorder="1" applyAlignment="1" applyProtection="1">
      <alignment horizontal="center" vertical="center"/>
    </xf>
    <xf numFmtId="44" fontId="19" fillId="0" borderId="10" xfId="2" applyFont="1" applyBorder="1" applyAlignment="1">
      <alignment horizontal="center" vertical="center" wrapText="1"/>
    </xf>
    <xf numFmtId="0" fontId="20" fillId="6" borderId="10" xfId="0" applyFont="1" applyFill="1" applyBorder="1" applyAlignment="1" applyProtection="1">
      <alignment horizontal="center" vertical="center"/>
    </xf>
    <xf numFmtId="44" fontId="20" fillId="6" borderId="10" xfId="2" applyFont="1" applyFill="1" applyBorder="1" applyAlignment="1">
      <alignment horizontal="center" vertical="center" wrapText="1"/>
    </xf>
    <xf numFmtId="0" fontId="20" fillId="2" borderId="10" xfId="0" applyFont="1" applyFill="1" applyBorder="1" applyAlignment="1" applyProtection="1">
      <alignment horizontal="center" vertical="center"/>
    </xf>
    <xf numFmtId="10" fontId="24" fillId="2" borderId="10" xfId="3" applyNumberFormat="1" applyFont="1" applyFill="1" applyBorder="1" applyAlignment="1" applyProtection="1">
      <alignment horizontal="center" vertical="center"/>
    </xf>
    <xf numFmtId="169" fontId="20" fillId="2" borderId="10" xfId="0" applyNumberFormat="1" applyFont="1" applyFill="1" applyBorder="1" applyAlignment="1" applyProtection="1">
      <alignment horizontal="center" vertical="center"/>
    </xf>
    <xf numFmtId="10" fontId="20" fillId="10" borderId="10" xfId="0" applyNumberFormat="1" applyFont="1" applyFill="1" applyBorder="1" applyAlignment="1" applyProtection="1">
      <alignment horizontal="center" vertical="center"/>
    </xf>
    <xf numFmtId="169" fontId="20" fillId="2" borderId="10" xfId="3" applyNumberFormat="1" applyFont="1" applyFill="1" applyBorder="1" applyAlignment="1" applyProtection="1">
      <alignment horizontal="center" vertical="center"/>
    </xf>
    <xf numFmtId="166" fontId="20" fillId="2" borderId="10" xfId="0" applyNumberFormat="1" applyFont="1" applyFill="1" applyBorder="1" applyAlignment="1" applyProtection="1">
      <alignment horizontal="center" vertical="center"/>
    </xf>
    <xf numFmtId="10" fontId="20" fillId="0" borderId="10" xfId="0" applyNumberFormat="1" applyFont="1" applyFill="1" applyBorder="1" applyAlignment="1" applyProtection="1">
      <alignment horizontal="center" vertical="center"/>
    </xf>
    <xf numFmtId="0" fontId="21" fillId="0" borderId="0" xfId="0" applyFont="1"/>
    <xf numFmtId="0" fontId="20" fillId="0" borderId="0" xfId="0" applyFont="1" applyAlignment="1">
      <alignment wrapText="1"/>
    </xf>
    <xf numFmtId="10" fontId="19" fillId="2" borderId="10" xfId="3" applyNumberFormat="1" applyFont="1" applyFill="1" applyBorder="1" applyAlignment="1" applyProtection="1">
      <alignment horizontal="center" vertical="center"/>
      <protection locked="0"/>
    </xf>
    <xf numFmtId="165" fontId="20" fillId="0" borderId="0" xfId="0" applyNumberFormat="1" applyFont="1"/>
    <xf numFmtId="44" fontId="20" fillId="0" borderId="10" xfId="2" applyFont="1" applyBorder="1"/>
    <xf numFmtId="10" fontId="20" fillId="2" borderId="10" xfId="3" applyNumberFormat="1" applyFont="1" applyFill="1" applyBorder="1" applyAlignment="1" applyProtection="1">
      <alignment horizontal="center" vertical="center"/>
      <protection locked="0"/>
    </xf>
    <xf numFmtId="44" fontId="20" fillId="0" borderId="10" xfId="2" applyFont="1" applyBorder="1" applyAlignment="1">
      <alignment horizontal="center"/>
    </xf>
    <xf numFmtId="44" fontId="27" fillId="13" borderId="10" xfId="2" applyFont="1" applyFill="1" applyBorder="1" applyAlignment="1" applyProtection="1">
      <alignment horizontal="center" vertical="center" wrapText="1"/>
    </xf>
    <xf numFmtId="0" fontId="20" fillId="0" borderId="10" xfId="0" applyFont="1" applyBorder="1" applyAlignment="1">
      <alignment horizontal="left"/>
    </xf>
    <xf numFmtId="10" fontId="20" fillId="0" borderId="10" xfId="3" applyNumberFormat="1" applyFont="1" applyBorder="1"/>
    <xf numFmtId="0" fontId="20" fillId="0" borderId="0" xfId="0" applyFont="1" applyAlignment="1">
      <alignment horizontal="center"/>
    </xf>
    <xf numFmtId="166" fontId="20" fillId="0" borderId="0" xfId="0" applyNumberFormat="1" applyFont="1"/>
    <xf numFmtId="10" fontId="19" fillId="0" borderId="10" xfId="0" applyNumberFormat="1" applyFont="1" applyFill="1" applyBorder="1" applyAlignment="1" applyProtection="1">
      <alignment horizontal="center" vertical="center"/>
    </xf>
    <xf numFmtId="0" fontId="19" fillId="0" borderId="0" xfId="0" applyFont="1"/>
    <xf numFmtId="0" fontId="20" fillId="7" borderId="7" xfId="0" applyFont="1" applyFill="1" applyBorder="1" applyAlignment="1" applyProtection="1">
      <alignment vertical="center"/>
    </xf>
    <xf numFmtId="0" fontId="20" fillId="7" borderId="8" xfId="0" applyFont="1" applyFill="1" applyBorder="1" applyAlignment="1" applyProtection="1">
      <alignment vertical="center"/>
    </xf>
    <xf numFmtId="0" fontId="20" fillId="7" borderId="8" xfId="0" applyFont="1" applyFill="1" applyBorder="1" applyAlignment="1" applyProtection="1">
      <alignment vertical="center" wrapText="1"/>
    </xf>
    <xf numFmtId="9" fontId="21" fillId="0" borderId="10" xfId="0" applyNumberFormat="1" applyFont="1" applyFill="1" applyBorder="1" applyAlignment="1" applyProtection="1">
      <alignment horizontal="left" vertical="center"/>
    </xf>
    <xf numFmtId="44" fontId="21" fillId="0" borderId="10" xfId="2" applyFont="1" applyBorder="1" applyAlignment="1">
      <alignment horizontal="center" vertical="center" wrapText="1"/>
    </xf>
    <xf numFmtId="0" fontId="19" fillId="0" borderId="8" xfId="0" applyFont="1" applyBorder="1" applyAlignment="1"/>
    <xf numFmtId="44" fontId="19" fillId="0" borderId="10" xfId="2" applyFont="1" applyBorder="1"/>
    <xf numFmtId="44" fontId="25" fillId="5" borderId="10" xfId="2" applyFont="1" applyFill="1" applyBorder="1"/>
    <xf numFmtId="0" fontId="25" fillId="14" borderId="0" xfId="0" applyFont="1" applyFill="1" applyBorder="1" applyAlignment="1">
      <alignment vertical="center" wrapText="1"/>
    </xf>
    <xf numFmtId="0" fontId="19" fillId="14" borderId="0" xfId="0" applyFont="1" applyFill="1" applyBorder="1" applyAlignment="1">
      <alignment horizontal="center" vertical="center" wrapText="1"/>
    </xf>
    <xf numFmtId="0" fontId="19" fillId="0" borderId="18" xfId="0" applyFont="1" applyBorder="1" applyAlignment="1">
      <alignment horizontal="center"/>
    </xf>
    <xf numFmtId="170" fontId="28" fillId="14" borderId="0" xfId="2" applyNumberFormat="1" applyFont="1" applyFill="1" applyBorder="1" applyAlignment="1" applyProtection="1">
      <alignment horizontal="center" vertical="center" wrapText="1"/>
    </xf>
    <xf numFmtId="0" fontId="20" fillId="0" borderId="19" xfId="0" applyFont="1" applyBorder="1" applyAlignment="1">
      <alignment horizontal="left"/>
    </xf>
    <xf numFmtId="10" fontId="20" fillId="0" borderId="18" xfId="3" applyNumberFormat="1" applyFont="1" applyBorder="1"/>
    <xf numFmtId="10" fontId="20" fillId="0" borderId="23" xfId="3" applyNumberFormat="1" applyFont="1" applyBorder="1"/>
    <xf numFmtId="0" fontId="19" fillId="0" borderId="0" xfId="0" applyFont="1" applyBorder="1" applyAlignment="1">
      <alignment horizontal="left"/>
    </xf>
    <xf numFmtId="10" fontId="20" fillId="0" borderId="0" xfId="3" applyNumberFormat="1" applyFont="1" applyBorder="1"/>
    <xf numFmtId="0" fontId="20" fillId="0" borderId="0" xfId="0" applyFont="1" applyAlignment="1">
      <alignment vertical="center"/>
    </xf>
    <xf numFmtId="9" fontId="19" fillId="0" borderId="0" xfId="3" applyFont="1" applyAlignment="1">
      <alignment horizontal="center" vertical="center"/>
    </xf>
    <xf numFmtId="0" fontId="19" fillId="16" borderId="25" xfId="0" applyFont="1" applyFill="1" applyBorder="1" applyAlignment="1">
      <alignment vertical="center" wrapText="1"/>
    </xf>
    <xf numFmtId="0" fontId="20" fillId="17" borderId="25" xfId="0" applyFont="1" applyFill="1" applyBorder="1" applyAlignment="1">
      <alignment horizontal="center" vertical="center" wrapText="1"/>
    </xf>
    <xf numFmtId="0" fontId="20" fillId="0" borderId="25" xfId="0" applyFont="1" applyBorder="1" applyAlignment="1">
      <alignment horizontal="center" vertical="center" wrapText="1"/>
    </xf>
    <xf numFmtId="43" fontId="20" fillId="0" borderId="25" xfId="1" applyFont="1" applyBorder="1" applyAlignment="1">
      <alignment horizontal="center" vertical="center" wrapText="1"/>
    </xf>
    <xf numFmtId="0" fontId="20" fillId="0" borderId="0" xfId="0" applyFont="1" applyFill="1" applyBorder="1" applyAlignment="1">
      <alignment horizontal="center" vertical="center" wrapText="1"/>
    </xf>
    <xf numFmtId="0" fontId="20" fillId="0" borderId="25" xfId="0" applyFont="1" applyFill="1" applyBorder="1" applyAlignment="1">
      <alignment vertical="center"/>
    </xf>
    <xf numFmtId="0" fontId="20" fillId="17" borderId="25" xfId="0" applyFont="1" applyFill="1" applyBorder="1" applyAlignment="1">
      <alignment horizontal="center" vertical="center"/>
    </xf>
    <xf numFmtId="171" fontId="20" fillId="0" borderId="25" xfId="0" applyNumberFormat="1" applyFont="1" applyBorder="1" applyAlignment="1">
      <alignment horizontal="center" vertical="center"/>
    </xf>
    <xf numFmtId="43" fontId="20" fillId="0" borderId="25" xfId="1" applyFont="1" applyBorder="1" applyAlignment="1">
      <alignment horizontal="center" vertical="center"/>
    </xf>
    <xf numFmtId="43" fontId="20" fillId="0" borderId="25" xfId="1" applyFont="1" applyFill="1" applyBorder="1" applyAlignment="1">
      <alignment horizontal="center" vertical="center"/>
    </xf>
    <xf numFmtId="172" fontId="20" fillId="0" borderId="0" xfId="0" applyNumberFormat="1" applyFont="1" applyAlignment="1">
      <alignment vertical="center"/>
    </xf>
    <xf numFmtId="0" fontId="19" fillId="0" borderId="25" xfId="0" applyFont="1" applyFill="1" applyBorder="1" applyAlignment="1">
      <alignment horizontal="left" vertical="center"/>
    </xf>
    <xf numFmtId="171" fontId="20" fillId="0" borderId="25" xfId="0" applyNumberFormat="1" applyFont="1" applyFill="1" applyBorder="1" applyAlignment="1">
      <alignment horizontal="center" vertical="center"/>
    </xf>
    <xf numFmtId="43" fontId="19" fillId="0" borderId="25" xfId="1" applyFont="1" applyBorder="1" applyAlignment="1">
      <alignment horizontal="center" vertical="center" wrapText="1"/>
    </xf>
    <xf numFmtId="44" fontId="19" fillId="0" borderId="0" xfId="2" applyFont="1" applyAlignment="1">
      <alignment horizontal="center" vertical="center"/>
    </xf>
    <xf numFmtId="43" fontId="19" fillId="0" borderId="0" xfId="1" applyFont="1" applyAlignment="1">
      <alignment horizontal="center" vertical="center"/>
    </xf>
    <xf numFmtId="0" fontId="19" fillId="0" borderId="25" xfId="0" applyFont="1" applyFill="1" applyBorder="1" applyAlignment="1">
      <alignment vertical="center"/>
    </xf>
    <xf numFmtId="0" fontId="19" fillId="17" borderId="25" xfId="0" applyFont="1" applyFill="1" applyBorder="1" applyAlignment="1">
      <alignment horizontal="center" vertical="center"/>
    </xf>
    <xf numFmtId="172" fontId="19" fillId="16" borderId="25" xfId="0" applyNumberFormat="1" applyFont="1" applyFill="1" applyBorder="1" applyAlignment="1">
      <alignment vertical="center" wrapText="1"/>
    </xf>
    <xf numFmtId="1" fontId="20" fillId="0" borderId="25" xfId="1" applyNumberFormat="1" applyFont="1" applyFill="1" applyBorder="1" applyAlignment="1">
      <alignment horizontal="center" vertical="center"/>
    </xf>
    <xf numFmtId="173" fontId="20" fillId="0" borderId="25" xfId="0" applyNumberFormat="1" applyFont="1" applyBorder="1" applyAlignment="1">
      <alignment horizontal="center" vertical="center"/>
    </xf>
    <xf numFmtId="174" fontId="20" fillId="0" borderId="0" xfId="1" applyNumberFormat="1" applyFont="1"/>
    <xf numFmtId="0" fontId="29" fillId="16" borderId="25" xfId="0" applyFont="1" applyFill="1" applyBorder="1" applyAlignment="1">
      <alignment vertical="center" wrapText="1"/>
    </xf>
    <xf numFmtId="0" fontId="28" fillId="17" borderId="25" xfId="0" applyFont="1" applyFill="1" applyBorder="1" applyAlignment="1">
      <alignment horizontal="center" vertical="center" wrapText="1"/>
    </xf>
    <xf numFmtId="0" fontId="28" fillId="0" borderId="25" xfId="0" applyFont="1" applyBorder="1" applyAlignment="1">
      <alignment horizontal="center" vertical="center" wrapText="1"/>
    </xf>
    <xf numFmtId="43" fontId="28" fillId="0" borderId="25" xfId="1" applyFont="1" applyBorder="1" applyAlignment="1">
      <alignment horizontal="center" vertical="center" wrapText="1"/>
    </xf>
    <xf numFmtId="9" fontId="29" fillId="0" borderId="0" xfId="3" applyFont="1" applyAlignment="1">
      <alignment horizontal="center" vertical="center"/>
    </xf>
    <xf numFmtId="0" fontId="28" fillId="0" borderId="0" xfId="0" applyFont="1"/>
    <xf numFmtId="0" fontId="28" fillId="0" borderId="25" xfId="0" applyFont="1" applyFill="1" applyBorder="1" applyAlignment="1">
      <alignment vertical="center"/>
    </xf>
    <xf numFmtId="0" fontId="28" fillId="17" borderId="25" xfId="0" applyFont="1" applyFill="1" applyBorder="1" applyAlignment="1">
      <alignment horizontal="center" vertical="center"/>
    </xf>
    <xf numFmtId="171" fontId="28" fillId="0" borderId="25" xfId="0" applyNumberFormat="1" applyFont="1" applyBorder="1" applyAlignment="1">
      <alignment horizontal="center" vertical="center"/>
    </xf>
    <xf numFmtId="43" fontId="28" fillId="0" borderId="25" xfId="1" applyFont="1" applyBorder="1" applyAlignment="1">
      <alignment horizontal="center" vertical="center"/>
    </xf>
    <xf numFmtId="43" fontId="28" fillId="0" borderId="25" xfId="1" applyFont="1" applyFill="1" applyBorder="1" applyAlignment="1">
      <alignment horizontal="center" vertical="center"/>
    </xf>
    <xf numFmtId="2" fontId="28" fillId="0" borderId="25" xfId="0" applyNumberFormat="1" applyFont="1" applyBorder="1" applyAlignment="1">
      <alignment horizontal="center" vertical="center"/>
    </xf>
    <xf numFmtId="0" fontId="29" fillId="0" borderId="25" xfId="0" applyFont="1" applyFill="1" applyBorder="1" applyAlignment="1">
      <alignment vertical="center"/>
    </xf>
    <xf numFmtId="0" fontId="29" fillId="17" borderId="25" xfId="0" applyFont="1" applyFill="1" applyBorder="1" applyAlignment="1">
      <alignment horizontal="center" vertical="center"/>
    </xf>
    <xf numFmtId="43" fontId="29" fillId="0" borderId="25" xfId="1" applyFont="1" applyBorder="1" applyAlignment="1">
      <alignment horizontal="center" vertical="center" wrapText="1"/>
    </xf>
    <xf numFmtId="9" fontId="23" fillId="0" borderId="0" xfId="3" applyFont="1" applyAlignment="1">
      <alignment horizontal="center" vertical="center"/>
    </xf>
    <xf numFmtId="172" fontId="28" fillId="0" borderId="0" xfId="0" applyNumberFormat="1" applyFont="1" applyAlignment="1">
      <alignment horizontal="center" vertical="center"/>
    </xf>
    <xf numFmtId="17" fontId="28" fillId="17" borderId="25" xfId="0" applyNumberFormat="1" applyFont="1" applyFill="1" applyBorder="1" applyAlignment="1">
      <alignment horizontal="center" vertical="center"/>
    </xf>
    <xf numFmtId="43" fontId="28" fillId="0" borderId="25" xfId="1" applyFont="1" applyBorder="1" applyAlignment="1">
      <alignment vertical="center"/>
    </xf>
    <xf numFmtId="2" fontId="28" fillId="0" borderId="25" xfId="1" applyNumberFormat="1" applyFont="1" applyFill="1" applyBorder="1" applyAlignment="1">
      <alignment horizontal="center" vertical="center"/>
    </xf>
    <xf numFmtId="0" fontId="28" fillId="0" borderId="0" xfId="0" applyFont="1" applyAlignment="1">
      <alignment horizontal="center" vertical="center"/>
    </xf>
    <xf numFmtId="0" fontId="28" fillId="17" borderId="25" xfId="0" applyFont="1" applyFill="1" applyBorder="1" applyAlignment="1">
      <alignment vertical="center"/>
    </xf>
    <xf numFmtId="0" fontId="28" fillId="0" borderId="25" xfId="0" applyFont="1" applyBorder="1" applyAlignment="1">
      <alignment vertical="center"/>
    </xf>
    <xf numFmtId="175" fontId="28" fillId="0" borderId="25" xfId="0" applyNumberFormat="1" applyFont="1" applyBorder="1" applyAlignment="1">
      <alignment vertical="center"/>
    </xf>
    <xf numFmtId="0" fontId="29" fillId="16" borderId="25" xfId="0" applyFont="1" applyFill="1" applyBorder="1" applyAlignment="1">
      <alignment vertical="center"/>
    </xf>
    <xf numFmtId="43" fontId="28" fillId="0" borderId="25" xfId="1" applyFont="1" applyFill="1" applyBorder="1" applyAlignment="1">
      <alignment vertical="center"/>
    </xf>
    <xf numFmtId="9" fontId="28" fillId="0" borderId="0" xfId="3" applyFont="1" applyAlignment="1">
      <alignment horizontal="center" vertical="center"/>
    </xf>
    <xf numFmtId="0" fontId="28" fillId="0" borderId="25" xfId="0" applyFont="1" applyFill="1" applyBorder="1" applyAlignment="1">
      <alignment horizontal="center" vertical="center"/>
    </xf>
    <xf numFmtId="176" fontId="28" fillId="0" borderId="25" xfId="0" applyNumberFormat="1" applyFont="1" applyFill="1" applyBorder="1" applyAlignment="1">
      <alignment horizontal="center" vertical="center"/>
    </xf>
    <xf numFmtId="175" fontId="28" fillId="0" borderId="25" xfId="0" applyNumberFormat="1" applyFont="1" applyFill="1" applyBorder="1" applyAlignment="1">
      <alignment vertical="center"/>
    </xf>
    <xf numFmtId="0" fontId="19" fillId="16" borderId="25" xfId="0" applyFont="1" applyFill="1" applyBorder="1" applyAlignment="1">
      <alignment vertical="center"/>
    </xf>
    <xf numFmtId="0" fontId="20" fillId="0" borderId="0" xfId="0" applyFont="1" applyAlignment="1">
      <alignment horizontal="center" vertical="center"/>
    </xf>
    <xf numFmtId="43" fontId="20" fillId="0" borderId="25" xfId="1" applyFont="1" applyFill="1" applyBorder="1" applyAlignment="1">
      <alignment vertical="center"/>
    </xf>
    <xf numFmtId="0" fontId="20" fillId="0" borderId="25" xfId="0" applyNumberFormat="1" applyFont="1" applyBorder="1" applyAlignment="1">
      <alignment horizontal="center" vertical="center"/>
    </xf>
    <xf numFmtId="0" fontId="20" fillId="0" borderId="25" xfId="0" applyFont="1" applyFill="1" applyBorder="1" applyAlignment="1">
      <alignment horizontal="center" vertical="center"/>
    </xf>
    <xf numFmtId="176" fontId="20" fillId="0" borderId="25" xfId="0" applyNumberFormat="1" applyFont="1" applyFill="1" applyBorder="1" applyAlignment="1">
      <alignment horizontal="center" vertical="center"/>
    </xf>
    <xf numFmtId="175" fontId="20" fillId="0" borderId="25" xfId="0" applyNumberFormat="1" applyFont="1" applyFill="1" applyBorder="1" applyAlignment="1">
      <alignment vertical="center"/>
    </xf>
    <xf numFmtId="4" fontId="29" fillId="16" borderId="25" xfId="0" applyNumberFormat="1" applyFont="1" applyFill="1" applyBorder="1" applyAlignment="1">
      <alignment vertical="center" wrapText="1"/>
    </xf>
    <xf numFmtId="0" fontId="28" fillId="0" borderId="25" xfId="0" applyNumberFormat="1" applyFont="1" applyBorder="1" applyAlignment="1">
      <alignment horizontal="center" vertical="center"/>
    </xf>
    <xf numFmtId="0" fontId="21" fillId="0" borderId="0" xfId="0" applyFont="1" applyAlignment="1">
      <alignment horizontal="center" vertical="center"/>
    </xf>
    <xf numFmtId="176" fontId="28" fillId="0" borderId="25" xfId="0" applyNumberFormat="1" applyFont="1" applyBorder="1" applyAlignment="1">
      <alignment horizontal="center" vertical="center"/>
    </xf>
    <xf numFmtId="177" fontId="28" fillId="0" borderId="25" xfId="1" applyNumberFormat="1" applyFont="1" applyBorder="1" applyAlignment="1">
      <alignment horizontal="center" vertical="center" wrapText="1"/>
    </xf>
    <xf numFmtId="178" fontId="29" fillId="0" borderId="25" xfId="1" applyNumberFormat="1" applyFont="1" applyBorder="1" applyAlignment="1">
      <alignment horizontal="center" vertical="center" wrapText="1"/>
    </xf>
    <xf numFmtId="0" fontId="19" fillId="15" borderId="25" xfId="0" applyFont="1" applyFill="1" applyBorder="1" applyAlignment="1">
      <alignment horizontal="center" vertical="center"/>
    </xf>
    <xf numFmtId="4" fontId="19" fillId="16" borderId="25" xfId="0" applyNumberFormat="1" applyFont="1" applyFill="1" applyBorder="1" applyAlignment="1">
      <alignment vertical="center"/>
    </xf>
    <xf numFmtId="17" fontId="20" fillId="17" borderId="25" xfId="0" applyNumberFormat="1" applyFont="1" applyFill="1" applyBorder="1" applyAlignment="1">
      <alignment horizontal="center" vertical="center"/>
    </xf>
    <xf numFmtId="176" fontId="20" fillId="0" borderId="25" xfId="0" applyNumberFormat="1" applyFont="1" applyBorder="1" applyAlignment="1">
      <alignment horizontal="center" vertical="center"/>
    </xf>
    <xf numFmtId="2" fontId="20" fillId="0" borderId="25" xfId="0" applyNumberFormat="1" applyFont="1" applyBorder="1" applyAlignment="1">
      <alignment horizontal="center" vertical="center"/>
    </xf>
    <xf numFmtId="172" fontId="19" fillId="0" borderId="25" xfId="1" applyNumberFormat="1" applyFont="1" applyBorder="1" applyAlignment="1">
      <alignment horizontal="center" vertical="center" wrapText="1"/>
    </xf>
    <xf numFmtId="1" fontId="20" fillId="0" borderId="25" xfId="0" applyNumberFormat="1" applyFont="1" applyBorder="1" applyAlignment="1">
      <alignment horizontal="center" vertical="center"/>
    </xf>
    <xf numFmtId="0" fontId="19" fillId="0" borderId="26" xfId="0" applyFont="1" applyBorder="1" applyAlignment="1">
      <alignment horizontal="center" vertical="center"/>
    </xf>
    <xf numFmtId="0" fontId="19" fillId="0" borderId="0" xfId="0" applyFont="1" applyBorder="1" applyAlignment="1">
      <alignment horizontal="center" vertical="center"/>
    </xf>
    <xf numFmtId="39" fontId="19" fillId="0" borderId="0" xfId="1" applyNumberFormat="1" applyFont="1" applyBorder="1" applyAlignment="1">
      <alignment horizontal="center" vertical="center" wrapText="1"/>
    </xf>
    <xf numFmtId="0" fontId="19" fillId="0" borderId="0" xfId="0" applyFont="1" applyBorder="1" applyAlignment="1">
      <alignment vertical="center"/>
    </xf>
    <xf numFmtId="0" fontId="20" fillId="0" borderId="0" xfId="0" applyFont="1" applyFill="1" applyBorder="1" applyAlignment="1">
      <alignment vertical="center"/>
    </xf>
    <xf numFmtId="0" fontId="20" fillId="0" borderId="0" xfId="0" applyFont="1" applyBorder="1" applyAlignment="1">
      <alignment vertical="center"/>
    </xf>
    <xf numFmtId="43" fontId="20" fillId="0" borderId="0" xfId="1" applyFont="1" applyBorder="1" applyAlignment="1">
      <alignment vertical="center"/>
    </xf>
    <xf numFmtId="173" fontId="20" fillId="0" borderId="0" xfId="0" applyNumberFormat="1" applyFont="1" applyAlignment="1">
      <alignment vertical="center"/>
    </xf>
    <xf numFmtId="0" fontId="20" fillId="0" borderId="0" xfId="0" applyFont="1" applyAlignment="1">
      <alignment vertical="center" wrapText="1"/>
    </xf>
    <xf numFmtId="0" fontId="20" fillId="0" borderId="0" xfId="0" applyFont="1" applyFill="1" applyAlignment="1">
      <alignment vertical="center"/>
    </xf>
    <xf numFmtId="2" fontId="20" fillId="0" borderId="0" xfId="0" applyNumberFormat="1" applyFont="1" applyAlignment="1">
      <alignment horizontal="center" vertical="center"/>
    </xf>
    <xf numFmtId="2" fontId="20" fillId="0" borderId="0" xfId="0" applyNumberFormat="1" applyFont="1" applyFill="1" applyAlignment="1">
      <alignment vertical="center"/>
    </xf>
    <xf numFmtId="43" fontId="20" fillId="0" borderId="0" xfId="1" applyFont="1" applyAlignment="1">
      <alignment vertical="center"/>
    </xf>
    <xf numFmtId="0" fontId="0" fillId="0" borderId="0" xfId="0" applyProtection="1"/>
    <xf numFmtId="0" fontId="0" fillId="0" borderId="0" xfId="0" applyAlignment="1" applyProtection="1">
      <alignment horizontal="right"/>
    </xf>
    <xf numFmtId="0" fontId="0" fillId="0" borderId="0" xfId="0" applyProtection="1">
      <protection locked="0"/>
    </xf>
    <xf numFmtId="1" fontId="1" fillId="0" borderId="4" xfId="1" applyNumberFormat="1" applyFont="1" applyFill="1" applyBorder="1" applyAlignment="1" applyProtection="1">
      <alignment horizontal="center"/>
    </xf>
    <xf numFmtId="1" fontId="35" fillId="0" borderId="6" xfId="1" applyNumberFormat="1" applyFont="1" applyFill="1" applyBorder="1" applyAlignment="1" applyProtection="1">
      <alignment horizontal="center" vertical="center"/>
    </xf>
    <xf numFmtId="49" fontId="0" fillId="0" borderId="12" xfId="0" applyNumberFormat="1" applyBorder="1" applyAlignment="1" applyProtection="1">
      <alignment horizontal="center"/>
    </xf>
    <xf numFmtId="49" fontId="0" fillId="0" borderId="28" xfId="0" applyNumberFormat="1" applyBorder="1" applyAlignment="1" applyProtection="1">
      <alignment horizontal="center"/>
    </xf>
    <xf numFmtId="49" fontId="0" fillId="0" borderId="13" xfId="0" applyNumberFormat="1" applyBorder="1" applyAlignment="1" applyProtection="1">
      <alignment horizontal="center"/>
    </xf>
    <xf numFmtId="0" fontId="0" fillId="0" borderId="13" xfId="0" applyBorder="1" applyAlignment="1" applyProtection="1">
      <alignment horizontal="center"/>
    </xf>
    <xf numFmtId="49" fontId="0" fillId="0" borderId="12" xfId="0" applyNumberFormat="1" applyFont="1" applyBorder="1" applyAlignment="1" applyProtection="1">
      <alignment horizontal="center" vertical="center" wrapText="1"/>
    </xf>
    <xf numFmtId="49" fontId="0" fillId="0" borderId="28" xfId="0" applyNumberFormat="1" applyBorder="1" applyAlignment="1" applyProtection="1">
      <alignment horizontal="center" wrapText="1"/>
    </xf>
    <xf numFmtId="49" fontId="0" fillId="0" borderId="12" xfId="0" applyNumberFormat="1" applyBorder="1" applyAlignment="1" applyProtection="1">
      <alignment horizontal="center" vertical="center" wrapText="1"/>
    </xf>
    <xf numFmtId="0" fontId="0" fillId="0" borderId="12" xfId="0" applyBorder="1" applyAlignment="1" applyProtection="1">
      <alignment horizontal="center" vertical="center"/>
    </xf>
    <xf numFmtId="49" fontId="0" fillId="0" borderId="11" xfId="0" applyNumberFormat="1" applyBorder="1" applyAlignment="1" applyProtection="1">
      <alignment horizontal="center"/>
    </xf>
    <xf numFmtId="49" fontId="0" fillId="0" borderId="6" xfId="0" applyNumberFormat="1" applyBorder="1" applyAlignment="1" applyProtection="1">
      <alignment horizontal="center"/>
    </xf>
    <xf numFmtId="0" fontId="0" fillId="0" borderId="11" xfId="0" applyBorder="1" applyAlignment="1" applyProtection="1">
      <alignment horizontal="center"/>
    </xf>
    <xf numFmtId="179" fontId="32" fillId="20" borderId="10" xfId="0" applyNumberFormat="1" applyFont="1" applyFill="1" applyBorder="1" applyAlignment="1" applyProtection="1">
      <alignment horizontal="distributed"/>
    </xf>
    <xf numFmtId="0" fontId="32" fillId="0" borderId="0" xfId="0" applyFont="1" applyFill="1" applyBorder="1" applyAlignment="1" applyProtection="1">
      <alignment horizontal="right" vertical="center" wrapText="1"/>
    </xf>
    <xf numFmtId="179" fontId="32" fillId="0" borderId="0" xfId="0" applyNumberFormat="1" applyFont="1" applyFill="1" applyBorder="1" applyAlignment="1" applyProtection="1">
      <alignment horizontal="distributed"/>
    </xf>
    <xf numFmtId="0" fontId="0" fillId="0" borderId="0" xfId="0" applyFill="1" applyBorder="1" applyProtection="1">
      <protection locked="0"/>
    </xf>
    <xf numFmtId="0" fontId="0" fillId="0" borderId="11" xfId="0" applyBorder="1" applyAlignment="1" applyProtection="1">
      <alignment horizontal="center" vertical="center"/>
    </xf>
    <xf numFmtId="181" fontId="36" fillId="0" borderId="10" xfId="1" applyNumberFormat="1" applyFont="1" applyBorder="1" applyAlignment="1" applyProtection="1">
      <alignment vertical="center"/>
    </xf>
    <xf numFmtId="0" fontId="41" fillId="0" borderId="0" xfId="0" applyFont="1" applyProtection="1">
      <protection locked="0"/>
    </xf>
    <xf numFmtId="0" fontId="41" fillId="0" borderId="0" xfId="0" applyFont="1" applyAlignment="1" applyProtection="1">
      <alignment horizontal="right"/>
      <protection locked="0"/>
    </xf>
    <xf numFmtId="0" fontId="30" fillId="21" borderId="30" xfId="0" applyFont="1" applyFill="1" applyBorder="1" applyAlignment="1">
      <alignment vertical="center"/>
    </xf>
    <xf numFmtId="0" fontId="30" fillId="21" borderId="31" xfId="0" applyFont="1" applyFill="1" applyBorder="1" applyAlignment="1">
      <alignment vertical="center"/>
    </xf>
    <xf numFmtId="44" fontId="30" fillId="0" borderId="0" xfId="2" applyFont="1" applyBorder="1"/>
    <xf numFmtId="0" fontId="30" fillId="0" borderId="0" xfId="0" applyFont="1" applyBorder="1"/>
    <xf numFmtId="0" fontId="0" fillId="0" borderId="0" xfId="0" applyBorder="1"/>
    <xf numFmtId="0" fontId="30" fillId="21" borderId="0" xfId="0" applyFont="1" applyFill="1" applyBorder="1" applyAlignment="1">
      <alignment vertical="center"/>
    </xf>
    <xf numFmtId="0" fontId="30" fillId="0" borderId="0" xfId="0" applyFont="1" applyBorder="1" applyAlignment="1">
      <alignment vertical="center"/>
    </xf>
    <xf numFmtId="0" fontId="30" fillId="0" borderId="33" xfId="0" applyFont="1" applyBorder="1" applyAlignment="1">
      <alignment vertical="center"/>
    </xf>
    <xf numFmtId="0" fontId="30" fillId="0" borderId="0" xfId="0" applyFont="1" applyBorder="1" applyAlignment="1"/>
    <xf numFmtId="0" fontId="30" fillId="0" borderId="33" xfId="0" applyFont="1" applyBorder="1" applyAlignment="1"/>
    <xf numFmtId="0" fontId="43" fillId="21" borderId="0" xfId="0" applyFont="1" applyFill="1" applyBorder="1" applyAlignment="1">
      <alignment vertical="center"/>
    </xf>
    <xf numFmtId="0" fontId="43" fillId="0" borderId="0" xfId="0" applyFont="1" applyBorder="1" applyAlignment="1"/>
    <xf numFmtId="0" fontId="43" fillId="0" borderId="33" xfId="0" applyFont="1" applyBorder="1" applyAlignment="1"/>
    <xf numFmtId="44" fontId="30" fillId="0" borderId="0" xfId="2" applyFont="1"/>
    <xf numFmtId="0" fontId="30" fillId="0" borderId="0" xfId="0" applyFont="1"/>
    <xf numFmtId="44" fontId="43" fillId="0" borderId="0" xfId="2" applyFont="1"/>
    <xf numFmtId="0" fontId="45" fillId="0" borderId="19" xfId="0" applyFont="1" applyBorder="1" applyAlignment="1">
      <alignment horizontal="center"/>
    </xf>
    <xf numFmtId="0" fontId="45" fillId="0" borderId="10" xfId="0" applyFont="1" applyBorder="1" applyAlignment="1">
      <alignment horizontal="center"/>
    </xf>
    <xf numFmtId="0" fontId="46" fillId="21" borderId="10" xfId="0" applyFont="1" applyFill="1" applyBorder="1" applyAlignment="1">
      <alignment horizontal="center" vertical="center"/>
    </xf>
    <xf numFmtId="0" fontId="45" fillId="0" borderId="10" xfId="0" applyFont="1" applyBorder="1" applyAlignment="1">
      <alignment horizontal="center" wrapText="1"/>
    </xf>
    <xf numFmtId="0" fontId="44" fillId="5" borderId="35" xfId="0" applyFont="1" applyFill="1" applyBorder="1" applyAlignment="1">
      <alignment horizontal="center"/>
    </xf>
    <xf numFmtId="175" fontId="44" fillId="5" borderId="35" xfId="0" applyNumberFormat="1" applyFont="1" applyFill="1" applyBorder="1" applyAlignment="1">
      <alignment horizontal="center"/>
    </xf>
    <xf numFmtId="44" fontId="0" fillId="0" borderId="0" xfId="2" applyFont="1"/>
    <xf numFmtId="44" fontId="19" fillId="12" borderId="38" xfId="2" applyFont="1" applyFill="1" applyBorder="1" applyAlignment="1" applyProtection="1">
      <alignment vertical="center"/>
    </xf>
    <xf numFmtId="44" fontId="19" fillId="14" borderId="10" xfId="2" applyFont="1" applyFill="1" applyBorder="1" applyAlignment="1">
      <alignment horizontal="center" vertical="center" wrapText="1"/>
    </xf>
    <xf numFmtId="169" fontId="20" fillId="2" borderId="10" xfId="1" applyNumberFormat="1" applyFont="1" applyFill="1" applyBorder="1" applyAlignment="1" applyProtection="1">
      <alignment horizontal="center" vertical="center"/>
      <protection locked="0"/>
    </xf>
    <xf numFmtId="0" fontId="0" fillId="0" borderId="0" xfId="0"/>
    <xf numFmtId="0" fontId="20" fillId="0" borderId="0" xfId="0" applyFont="1" applyBorder="1"/>
    <xf numFmtId="44" fontId="47" fillId="0" borderId="10" xfId="2" applyFont="1" applyBorder="1" applyAlignment="1">
      <alignment horizontal="center" vertical="center"/>
    </xf>
    <xf numFmtId="0" fontId="47" fillId="0" borderId="10" xfId="0" applyFont="1" applyBorder="1" applyAlignment="1">
      <alignment horizontal="center" vertical="center"/>
    </xf>
    <xf numFmtId="44" fontId="47" fillId="0" borderId="18" xfId="2" applyFont="1" applyBorder="1" applyAlignment="1">
      <alignment horizontal="center" vertical="center"/>
    </xf>
    <xf numFmtId="0" fontId="0" fillId="0" borderId="30" xfId="0" applyBorder="1"/>
    <xf numFmtId="44" fontId="51" fillId="0" borderId="0" xfId="0" applyNumberFormat="1" applyFont="1"/>
    <xf numFmtId="0" fontId="51" fillId="0" borderId="0" xfId="0" applyFont="1" applyAlignment="1">
      <alignment horizontal="center"/>
    </xf>
    <xf numFmtId="0" fontId="44" fillId="5" borderId="22" xfId="0" applyFont="1" applyFill="1" applyBorder="1" applyAlignment="1">
      <alignment horizontal="center"/>
    </xf>
    <xf numFmtId="0" fontId="47" fillId="0" borderId="19" xfId="0" applyFont="1" applyBorder="1" applyAlignment="1">
      <alignment horizontal="center" vertical="center" wrapText="1"/>
    </xf>
    <xf numFmtId="0" fontId="47" fillId="0" borderId="10" xfId="0" applyFont="1" applyBorder="1" applyAlignment="1">
      <alignment horizontal="center" vertical="center" wrapText="1"/>
    </xf>
    <xf numFmtId="0" fontId="46" fillId="21" borderId="25" xfId="0" applyFont="1" applyFill="1" applyBorder="1" applyAlignment="1">
      <alignment horizontal="center" vertical="center"/>
    </xf>
    <xf numFmtId="44" fontId="47" fillId="0" borderId="25" xfId="2" applyFont="1" applyBorder="1" applyAlignment="1">
      <alignment horizontal="center" vertical="center"/>
    </xf>
    <xf numFmtId="44" fontId="47" fillId="0" borderId="39" xfId="2" applyFont="1" applyBorder="1" applyAlignment="1">
      <alignment horizontal="center" vertical="center"/>
    </xf>
    <xf numFmtId="0" fontId="52" fillId="5" borderId="0" xfId="0" applyFont="1" applyFill="1"/>
    <xf numFmtId="44" fontId="49" fillId="5" borderId="0" xfId="2" applyFont="1" applyFill="1"/>
    <xf numFmtId="0" fontId="20" fillId="0" borderId="0" xfId="0" applyFont="1" applyFill="1"/>
    <xf numFmtId="0" fontId="0" fillId="0" borderId="0" xfId="0" applyFill="1"/>
    <xf numFmtId="182" fontId="19" fillId="0" borderId="37" xfId="2" applyNumberFormat="1" applyFont="1" applyFill="1" applyBorder="1" applyAlignment="1" applyProtection="1">
      <alignment horizontal="center" vertical="center"/>
    </xf>
    <xf numFmtId="0" fontId="53" fillId="0" borderId="0" xfId="8"/>
    <xf numFmtId="0" fontId="20" fillId="12" borderId="25" xfId="0" applyFont="1" applyFill="1" applyBorder="1" applyAlignment="1" applyProtection="1">
      <alignment horizontal="center" vertical="center"/>
    </xf>
    <xf numFmtId="183" fontId="20" fillId="0" borderId="0" xfId="0" applyNumberFormat="1" applyFont="1"/>
    <xf numFmtId="44" fontId="21" fillId="0" borderId="0" xfId="0" applyNumberFormat="1" applyFont="1"/>
    <xf numFmtId="44" fontId="20" fillId="23" borderId="10" xfId="2" applyFont="1" applyFill="1" applyBorder="1" applyAlignment="1">
      <alignment horizontal="center" vertical="center" wrapText="1"/>
    </xf>
    <xf numFmtId="0" fontId="20" fillId="24" borderId="8" xfId="0" applyFont="1" applyFill="1" applyBorder="1" applyAlignment="1" applyProtection="1">
      <alignment horizontal="left" vertical="center"/>
    </xf>
    <xf numFmtId="0" fontId="20" fillId="24" borderId="9" xfId="0" applyFont="1" applyFill="1" applyBorder="1" applyAlignment="1" applyProtection="1">
      <alignment horizontal="left" vertical="center"/>
    </xf>
    <xf numFmtId="10" fontId="20" fillId="24" borderId="10" xfId="0" applyNumberFormat="1" applyFont="1" applyFill="1" applyBorder="1" applyAlignment="1" applyProtection="1">
      <alignment horizontal="center" vertical="center"/>
    </xf>
    <xf numFmtId="44" fontId="20" fillId="23" borderId="10" xfId="2" applyFont="1" applyFill="1" applyBorder="1" applyAlignment="1">
      <alignment horizontal="center" vertical="center"/>
    </xf>
    <xf numFmtId="10" fontId="19" fillId="23" borderId="10" xfId="0" applyNumberFormat="1" applyFont="1" applyFill="1" applyBorder="1" applyAlignment="1" applyProtection="1">
      <alignment horizontal="center" vertical="center"/>
    </xf>
    <xf numFmtId="44" fontId="20" fillId="0" borderId="10" xfId="2" applyFont="1" applyFill="1" applyBorder="1" applyAlignment="1">
      <alignment horizontal="center" vertical="center" wrapText="1"/>
    </xf>
    <xf numFmtId="0" fontId="54" fillId="0" borderId="0" xfId="0" applyFont="1"/>
    <xf numFmtId="0" fontId="19" fillId="0" borderId="26" xfId="0" applyFont="1" applyFill="1" applyBorder="1" applyAlignment="1" applyProtection="1">
      <alignment horizontal="center" vertical="center"/>
    </xf>
    <xf numFmtId="9" fontId="21" fillId="0" borderId="25" xfId="0" applyNumberFormat="1" applyFont="1" applyFill="1" applyBorder="1" applyAlignment="1" applyProtection="1">
      <alignment horizontal="left" vertical="center"/>
    </xf>
    <xf numFmtId="44" fontId="20" fillId="0" borderId="25" xfId="2" applyFont="1" applyBorder="1" applyAlignment="1">
      <alignment horizontal="center" vertical="center" wrapText="1"/>
    </xf>
    <xf numFmtId="44" fontId="46" fillId="21" borderId="25" xfId="0" applyNumberFormat="1" applyFont="1" applyFill="1" applyBorder="1" applyAlignment="1">
      <alignment horizontal="center" vertical="center"/>
    </xf>
    <xf numFmtId="0" fontId="56" fillId="25" borderId="41" xfId="9" applyFont="1" applyFill="1" applyBorder="1" applyAlignment="1">
      <alignment horizontal="center" vertical="center" wrapText="1"/>
    </xf>
    <xf numFmtId="184" fontId="56" fillId="25" borderId="41" xfId="10" applyFont="1" applyFill="1" applyBorder="1" applyAlignment="1" applyProtection="1">
      <alignment horizontal="center" vertical="center" wrapText="1"/>
    </xf>
    <xf numFmtId="0" fontId="20" fillId="0" borderId="0" xfId="9" applyFont="1" applyFill="1" applyAlignment="1">
      <alignment vertical="center"/>
    </xf>
    <xf numFmtId="0" fontId="28" fillId="0" borderId="41" xfId="9" applyFont="1" applyFill="1" applyBorder="1" applyAlignment="1">
      <alignment vertical="center" wrapText="1"/>
    </xf>
    <xf numFmtId="0" fontId="20" fillId="0" borderId="41" xfId="9" applyFont="1" applyFill="1" applyBorder="1" applyAlignment="1">
      <alignment horizontal="center" vertical="center"/>
    </xf>
    <xf numFmtId="185" fontId="20" fillId="0" borderId="41" xfId="9" applyNumberFormat="1" applyFont="1" applyFill="1" applyBorder="1" applyAlignment="1">
      <alignment horizontal="center" vertical="center"/>
    </xf>
    <xf numFmtId="184" fontId="20" fillId="0" borderId="41" xfId="10" applyFont="1" applyFill="1" applyBorder="1" applyAlignment="1" applyProtection="1">
      <alignment horizontal="right" vertical="center"/>
    </xf>
    <xf numFmtId="184" fontId="28" fillId="0" borderId="41" xfId="10" applyFont="1" applyFill="1" applyBorder="1" applyAlignment="1" applyProtection="1">
      <alignment horizontal="right" vertical="center"/>
    </xf>
    <xf numFmtId="4" fontId="19" fillId="25" borderId="41" xfId="9" applyNumberFormat="1" applyFont="1" applyFill="1" applyBorder="1" applyAlignment="1">
      <alignment vertical="center"/>
    </xf>
    <xf numFmtId="0" fontId="20" fillId="26" borderId="41" xfId="9" applyFont="1" applyFill="1" applyBorder="1" applyAlignment="1">
      <alignment vertical="center" wrapText="1"/>
    </xf>
    <xf numFmtId="0" fontId="20" fillId="26" borderId="41" xfId="9" applyFont="1" applyFill="1" applyBorder="1" applyAlignment="1">
      <alignment horizontal="center" vertical="center"/>
    </xf>
    <xf numFmtId="1" fontId="20" fillId="26" borderId="41" xfId="9" applyNumberFormat="1" applyFont="1" applyFill="1" applyBorder="1" applyAlignment="1">
      <alignment horizontal="center" vertical="center"/>
    </xf>
    <xf numFmtId="182" fontId="20" fillId="26" borderId="0" xfId="9" applyNumberFormat="1" applyFont="1" applyFill="1"/>
    <xf numFmtId="4" fontId="20" fillId="26" borderId="41" xfId="10" applyNumberFormat="1" applyFont="1" applyFill="1" applyBorder="1" applyAlignment="1" applyProtection="1">
      <alignment horizontal="right" vertical="center"/>
    </xf>
    <xf numFmtId="182" fontId="20" fillId="26" borderId="41" xfId="2" applyNumberFormat="1" applyFont="1" applyFill="1" applyBorder="1" applyAlignment="1" applyProtection="1">
      <alignment horizontal="right" vertical="center"/>
    </xf>
    <xf numFmtId="4" fontId="29" fillId="25" borderId="41" xfId="10" applyNumberFormat="1" applyFont="1" applyFill="1" applyBorder="1" applyAlignment="1" applyProtection="1">
      <alignment horizontal="right" vertical="center"/>
    </xf>
    <xf numFmtId="4" fontId="19" fillId="25" borderId="41" xfId="10" applyNumberFormat="1" applyFont="1" applyFill="1" applyBorder="1" applyAlignment="1" applyProtection="1">
      <alignment horizontal="right" vertical="center"/>
    </xf>
    <xf numFmtId="184" fontId="28" fillId="0" borderId="0" xfId="10" applyFont="1" applyFill="1" applyBorder="1" applyAlignment="1" applyProtection="1">
      <alignment horizontal="right" vertical="center"/>
    </xf>
    <xf numFmtId="0" fontId="19" fillId="0" borderId="0" xfId="9" applyFont="1" applyFill="1" applyBorder="1" applyAlignment="1">
      <alignment horizontal="right" vertical="center"/>
    </xf>
    <xf numFmtId="4" fontId="19" fillId="0" borderId="0" xfId="10" applyNumberFormat="1" applyFont="1" applyFill="1" applyBorder="1" applyAlignment="1" applyProtection="1">
      <alignment horizontal="right" vertical="center"/>
    </xf>
    <xf numFmtId="0" fontId="56" fillId="25" borderId="41" xfId="9" applyFont="1" applyFill="1" applyBorder="1" applyAlignment="1">
      <alignment horizontal="center" vertical="center"/>
    </xf>
    <xf numFmtId="4" fontId="19" fillId="25" borderId="42" xfId="9" applyNumberFormat="1" applyFont="1" applyFill="1" applyBorder="1" applyAlignment="1">
      <alignment vertical="center"/>
    </xf>
    <xf numFmtId="4" fontId="20" fillId="0" borderId="0" xfId="9" applyNumberFormat="1" applyFont="1" applyFill="1" applyAlignment="1">
      <alignment vertical="center"/>
    </xf>
    <xf numFmtId="0" fontId="57" fillId="25" borderId="41" xfId="9" applyFont="1" applyFill="1" applyBorder="1" applyAlignment="1">
      <alignment horizontal="center" vertical="center"/>
    </xf>
    <xf numFmtId="0" fontId="20" fillId="0" borderId="0" xfId="9" applyFont="1" applyFill="1" applyAlignment="1">
      <alignment horizontal="center" vertical="center"/>
    </xf>
    <xf numFmtId="0" fontId="45" fillId="0" borderId="25" xfId="0" applyFont="1" applyBorder="1" applyAlignment="1">
      <alignment horizontal="center" vertical="center"/>
    </xf>
    <xf numFmtId="0" fontId="45" fillId="0" borderId="25" xfId="0" applyFont="1" applyBorder="1" applyAlignment="1">
      <alignment horizontal="center" vertical="center" wrapText="1"/>
    </xf>
    <xf numFmtId="44" fontId="45" fillId="0" borderId="25" xfId="0" applyNumberFormat="1" applyFont="1" applyFill="1" applyBorder="1" applyAlignment="1">
      <alignment horizontal="center" vertical="center" wrapText="1"/>
    </xf>
    <xf numFmtId="0" fontId="45" fillId="0" borderId="11" xfId="0" applyFont="1" applyBorder="1" applyAlignment="1">
      <alignment horizontal="center" vertical="center"/>
    </xf>
    <xf numFmtId="0" fontId="0" fillId="0" borderId="0" xfId="0" applyAlignment="1">
      <alignment vertical="center"/>
    </xf>
    <xf numFmtId="0" fontId="45" fillId="0" borderId="25" xfId="0" applyFont="1" applyFill="1" applyBorder="1" applyAlignment="1">
      <alignment horizontal="center" vertical="center" wrapText="1"/>
    </xf>
    <xf numFmtId="0" fontId="44" fillId="5" borderId="12" xfId="0" applyFont="1" applyFill="1" applyBorder="1" applyAlignment="1">
      <alignment horizontal="center" vertical="center"/>
    </xf>
    <xf numFmtId="44" fontId="51" fillId="0" borderId="0" xfId="2" applyFont="1" applyFill="1" applyBorder="1"/>
    <xf numFmtId="44" fontId="0" fillId="0" borderId="0" xfId="2" applyFont="1" applyFill="1" applyBorder="1"/>
    <xf numFmtId="0" fontId="0" fillId="0" borderId="0" xfId="0" applyFill="1" applyBorder="1"/>
    <xf numFmtId="0" fontId="20" fillId="22" borderId="39" xfId="0" applyFont="1" applyFill="1" applyBorder="1" applyAlignment="1" applyProtection="1">
      <alignment vertical="center"/>
    </xf>
    <xf numFmtId="0" fontId="20" fillId="22" borderId="37" xfId="0" applyFont="1" applyFill="1" applyBorder="1" applyAlignment="1" applyProtection="1">
      <alignment vertical="center"/>
    </xf>
    <xf numFmtId="9" fontId="20" fillId="22" borderId="25" xfId="0" applyNumberFormat="1" applyFont="1" applyFill="1" applyBorder="1" applyAlignment="1" applyProtection="1">
      <alignment vertical="center"/>
    </xf>
    <xf numFmtId="182" fontId="23" fillId="0" borderId="0" xfId="2" applyNumberFormat="1" applyFont="1" applyAlignment="1">
      <alignment horizontal="center" vertical="center"/>
    </xf>
    <xf numFmtId="0" fontId="20" fillId="7" borderId="10" xfId="0" applyFont="1" applyFill="1" applyBorder="1" applyAlignment="1" applyProtection="1">
      <alignment horizontal="left" vertical="center"/>
    </xf>
    <xf numFmtId="0" fontId="19" fillId="0" borderId="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20" fillId="7" borderId="8" xfId="0" applyFont="1" applyFill="1" applyBorder="1" applyAlignment="1" applyProtection="1">
      <alignment horizontal="left" vertical="center"/>
    </xf>
    <xf numFmtId="0" fontId="20" fillId="7" borderId="9" xfId="0" applyFont="1" applyFill="1" applyBorder="1" applyAlignment="1" applyProtection="1">
      <alignment horizontal="left" vertical="center"/>
    </xf>
    <xf numFmtId="0" fontId="20" fillId="7" borderId="10" xfId="0" applyFont="1" applyFill="1" applyBorder="1" applyAlignment="1" applyProtection="1">
      <alignment vertical="center"/>
    </xf>
    <xf numFmtId="0" fontId="20" fillId="7" borderId="10" xfId="0" applyFont="1" applyFill="1" applyBorder="1" applyAlignment="1" applyProtection="1">
      <alignment horizontal="center" vertical="center"/>
    </xf>
    <xf numFmtId="0" fontId="20" fillId="12" borderId="10" xfId="0" applyFont="1" applyFill="1" applyBorder="1" applyAlignment="1" applyProtection="1">
      <alignment horizontal="center" vertical="center"/>
    </xf>
    <xf numFmtId="0" fontId="19" fillId="0" borderId="9" xfId="0" applyFont="1" applyBorder="1" applyAlignment="1">
      <alignment horizontal="center"/>
    </xf>
    <xf numFmtId="44" fontId="44" fillId="5" borderId="12" xfId="2" applyFont="1" applyFill="1" applyBorder="1" applyAlignment="1">
      <alignment horizontal="center" vertical="center"/>
    </xf>
    <xf numFmtId="0" fontId="58" fillId="0" borderId="0" xfId="0" applyFont="1" applyBorder="1" applyAlignment="1">
      <alignment horizontal="center" vertical="center" wrapText="1"/>
    </xf>
    <xf numFmtId="0" fontId="58" fillId="0" borderId="0" xfId="0" applyFont="1" applyBorder="1" applyAlignment="1">
      <alignment vertical="center" wrapText="1"/>
    </xf>
    <xf numFmtId="0" fontId="45" fillId="27" borderId="25" xfId="0" applyFont="1" applyFill="1" applyBorder="1" applyAlignment="1">
      <alignment horizontal="center" vertical="center" wrapText="1"/>
    </xf>
    <xf numFmtId="0" fontId="45" fillId="27" borderId="25" xfId="0" applyFont="1" applyFill="1" applyBorder="1" applyAlignment="1">
      <alignment horizontal="center" vertical="center"/>
    </xf>
    <xf numFmtId="0" fontId="45" fillId="28" borderId="25" xfId="0" applyFont="1" applyFill="1" applyBorder="1" applyAlignment="1">
      <alignment horizontal="center" vertical="center" wrapText="1"/>
    </xf>
    <xf numFmtId="0" fontId="45" fillId="28" borderId="25" xfId="0" applyFont="1" applyFill="1" applyBorder="1" applyAlignment="1">
      <alignment horizontal="center" vertical="center"/>
    </xf>
    <xf numFmtId="44" fontId="46" fillId="28" borderId="25" xfId="0" applyNumberFormat="1" applyFont="1" applyFill="1" applyBorder="1" applyAlignment="1">
      <alignment horizontal="center" vertical="center"/>
    </xf>
    <xf numFmtId="44" fontId="45" fillId="28" borderId="25" xfId="0" applyNumberFormat="1" applyFont="1" applyFill="1" applyBorder="1" applyAlignment="1">
      <alignment horizontal="center" vertical="center" wrapText="1"/>
    </xf>
    <xf numFmtId="0" fontId="45" fillId="0" borderId="25" xfId="0" applyFont="1" applyFill="1" applyBorder="1" applyAlignment="1">
      <alignment horizontal="center" vertical="center"/>
    </xf>
    <xf numFmtId="44" fontId="46" fillId="0" borderId="25" xfId="0" applyNumberFormat="1" applyFont="1" applyFill="1" applyBorder="1" applyAlignment="1">
      <alignment horizontal="center" vertical="center"/>
    </xf>
    <xf numFmtId="0" fontId="46" fillId="27" borderId="25" xfId="0" applyFont="1" applyFill="1" applyBorder="1" applyAlignment="1">
      <alignment horizontal="center" vertical="center"/>
    </xf>
    <xf numFmtId="0" fontId="19" fillId="0" borderId="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20" fillId="0" borderId="38" xfId="0" applyFont="1" applyFill="1" applyBorder="1" applyAlignment="1" applyProtection="1">
      <alignment horizontal="center" vertical="center"/>
    </xf>
    <xf numFmtId="44" fontId="20" fillId="7" borderId="38" xfId="2" applyFont="1" applyFill="1" applyBorder="1" applyAlignment="1" applyProtection="1">
      <alignment vertical="center"/>
    </xf>
    <xf numFmtId="44" fontId="20" fillId="0" borderId="38" xfId="2" applyFont="1" applyFill="1" applyBorder="1" applyAlignment="1" applyProtection="1">
      <alignment vertical="center"/>
    </xf>
    <xf numFmtId="0" fontId="20" fillId="0" borderId="46" xfId="0" applyFont="1" applyFill="1" applyBorder="1" applyAlignment="1" applyProtection="1">
      <alignment vertical="center"/>
    </xf>
    <xf numFmtId="0" fontId="20" fillId="7" borderId="47" xfId="0" applyFont="1" applyFill="1" applyBorder="1" applyAlignment="1" applyProtection="1">
      <alignment vertical="center"/>
    </xf>
    <xf numFmtId="0" fontId="20" fillId="7" borderId="48" xfId="0" applyFont="1" applyFill="1" applyBorder="1" applyAlignment="1" applyProtection="1">
      <alignment vertical="center" wrapText="1"/>
    </xf>
    <xf numFmtId="0" fontId="19" fillId="0" borderId="9" xfId="0" applyFont="1" applyBorder="1" applyAlignment="1">
      <alignment horizontal="center"/>
    </xf>
    <xf numFmtId="0" fontId="20" fillId="7" borderId="10" xfId="0" applyFont="1" applyFill="1" applyBorder="1" applyAlignment="1" applyProtection="1">
      <alignment vertical="center"/>
    </xf>
    <xf numFmtId="0" fontId="20" fillId="12" borderId="10" xfId="0" applyFont="1" applyFill="1" applyBorder="1" applyAlignment="1" applyProtection="1">
      <alignment horizontal="center" vertical="center"/>
    </xf>
    <xf numFmtId="0" fontId="20" fillId="7" borderId="10" xfId="0" applyFont="1" applyFill="1" applyBorder="1" applyAlignment="1" applyProtection="1">
      <alignment horizontal="left" vertical="center"/>
    </xf>
    <xf numFmtId="0" fontId="20" fillId="7" borderId="8" xfId="0" applyFont="1" applyFill="1" applyBorder="1" applyAlignment="1" applyProtection="1">
      <alignment horizontal="left" vertical="center"/>
    </xf>
    <xf numFmtId="0" fontId="20" fillId="7" borderId="9" xfId="0" applyFont="1" applyFill="1" applyBorder="1" applyAlignment="1" applyProtection="1">
      <alignment horizontal="left" vertical="center"/>
    </xf>
    <xf numFmtId="0" fontId="20" fillId="7" borderId="10"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164" fontId="0" fillId="0" borderId="51" xfId="2" applyNumberFormat="1" applyFont="1" applyBorder="1" applyAlignment="1">
      <alignment horizontal="right" vertical="center" wrapText="1"/>
    </xf>
    <xf numFmtId="164" fontId="0" fillId="0" borderId="54" xfId="2" applyNumberFormat="1" applyFont="1" applyBorder="1" applyAlignment="1">
      <alignment vertical="center" wrapText="1"/>
    </xf>
    <xf numFmtId="164" fontId="0" fillId="0" borderId="51" xfId="2" applyNumberFormat="1" applyFont="1" applyBorder="1" applyAlignment="1">
      <alignment vertical="center" wrapText="1"/>
    </xf>
    <xf numFmtId="0" fontId="63" fillId="14" borderId="25" xfId="0" applyFont="1" applyFill="1" applyBorder="1" applyAlignment="1">
      <alignment vertical="center" wrapText="1"/>
    </xf>
    <xf numFmtId="0" fontId="63" fillId="29" borderId="25" xfId="0" applyFont="1" applyFill="1" applyBorder="1" applyAlignment="1">
      <alignment vertical="center" wrapText="1"/>
    </xf>
    <xf numFmtId="0" fontId="65" fillId="29" borderId="25" xfId="0" applyFont="1" applyFill="1" applyBorder="1" applyAlignment="1">
      <alignment horizontal="center" vertical="center" wrapText="1"/>
    </xf>
    <xf numFmtId="0" fontId="60" fillId="30" borderId="25" xfId="0" applyFont="1" applyFill="1" applyBorder="1" applyAlignment="1">
      <alignment horizontal="center" vertical="center" wrapText="1"/>
    </xf>
    <xf numFmtId="0" fontId="65" fillId="31" borderId="25" xfId="0" applyFont="1" applyFill="1" applyBorder="1" applyAlignment="1">
      <alignment horizontal="center" vertical="center" wrapText="1"/>
    </xf>
    <xf numFmtId="0" fontId="63" fillId="32" borderId="25" xfId="0" applyFont="1" applyFill="1" applyBorder="1" applyAlignment="1">
      <alignment vertical="center" wrapText="1"/>
    </xf>
    <xf numFmtId="0" fontId="63" fillId="33" borderId="25" xfId="0" applyFont="1" applyFill="1" applyBorder="1" applyAlignment="1">
      <alignment vertical="center" wrapText="1"/>
    </xf>
    <xf numFmtId="0" fontId="65" fillId="28" borderId="25" xfId="0" applyFont="1" applyFill="1" applyBorder="1" applyAlignment="1">
      <alignment horizontal="center" vertical="center" wrapText="1"/>
    </xf>
    <xf numFmtId="0" fontId="10" fillId="34" borderId="25" xfId="0" applyFont="1" applyFill="1" applyBorder="1" applyAlignment="1">
      <alignment horizontal="center" vertical="center" wrapText="1"/>
    </xf>
    <xf numFmtId="0" fontId="63" fillId="35" borderId="25" xfId="0" applyFont="1" applyFill="1" applyBorder="1" applyAlignment="1">
      <alignment vertical="center" wrapText="1"/>
    </xf>
    <xf numFmtId="0" fontId="65" fillId="36" borderId="25" xfId="0" applyFont="1" applyFill="1" applyBorder="1" applyAlignment="1">
      <alignment horizontal="center" vertical="center" wrapText="1"/>
    </xf>
    <xf numFmtId="0" fontId="63" fillId="37" borderId="25" xfId="0" applyFont="1" applyFill="1" applyBorder="1" applyAlignment="1">
      <alignment vertical="center" wrapText="1"/>
    </xf>
    <xf numFmtId="0" fontId="63" fillId="38" borderId="25" xfId="0" applyFont="1" applyFill="1" applyBorder="1" applyAlignment="1">
      <alignment vertical="center" wrapText="1"/>
    </xf>
    <xf numFmtId="0" fontId="65" fillId="39" borderId="25" xfId="0" applyFont="1" applyFill="1" applyBorder="1" applyAlignment="1">
      <alignment horizontal="center" vertical="center" wrapText="1"/>
    </xf>
    <xf numFmtId="0" fontId="65" fillId="40" borderId="25" xfId="0" applyFont="1" applyFill="1" applyBorder="1" applyAlignment="1">
      <alignment horizontal="center" vertical="center" wrapText="1"/>
    </xf>
    <xf numFmtId="0" fontId="65" fillId="41" borderId="25" xfId="0" applyFont="1" applyFill="1" applyBorder="1" applyAlignment="1">
      <alignment horizontal="center" vertical="center" wrapText="1"/>
    </xf>
    <xf numFmtId="0" fontId="65" fillId="42" borderId="25" xfId="0" applyFont="1" applyFill="1" applyBorder="1" applyAlignment="1">
      <alignment horizontal="center" vertical="center" wrapText="1"/>
    </xf>
    <xf numFmtId="0" fontId="65" fillId="30" borderId="25" xfId="0" applyFont="1" applyFill="1" applyBorder="1" applyAlignment="1">
      <alignment horizontal="center" vertical="center" wrapText="1"/>
    </xf>
    <xf numFmtId="0" fontId="65" fillId="33" borderId="25" xfId="0" applyFont="1" applyFill="1" applyBorder="1" applyAlignment="1">
      <alignment horizontal="center" vertical="center" wrapText="1"/>
    </xf>
    <xf numFmtId="0" fontId="65" fillId="35" borderId="25" xfId="0" applyFont="1" applyFill="1" applyBorder="1" applyAlignment="1">
      <alignment horizontal="center" vertical="center" wrapText="1"/>
    </xf>
    <xf numFmtId="0" fontId="65" fillId="38" borderId="25" xfId="0" applyFont="1" applyFill="1" applyBorder="1" applyAlignment="1">
      <alignment horizontal="center" vertical="center" wrapText="1"/>
    </xf>
    <xf numFmtId="0" fontId="65" fillId="32" borderId="25" xfId="0" applyFont="1" applyFill="1" applyBorder="1" applyAlignment="1">
      <alignment horizontal="center" vertical="center" wrapText="1"/>
    </xf>
    <xf numFmtId="0" fontId="65" fillId="37" borderId="25" xfId="0" applyFont="1" applyFill="1" applyBorder="1" applyAlignment="1">
      <alignment horizontal="center" vertical="center" wrapText="1"/>
    </xf>
    <xf numFmtId="0" fontId="63" fillId="31" borderId="25" xfId="0" applyFont="1" applyFill="1" applyBorder="1" applyAlignment="1">
      <alignment vertical="center" wrapText="1"/>
    </xf>
    <xf numFmtId="0" fontId="63" fillId="40" borderId="25" xfId="0" applyFont="1" applyFill="1" applyBorder="1" applyAlignment="1">
      <alignment vertical="center" wrapText="1"/>
    </xf>
    <xf numFmtId="0" fontId="63" fillId="41" borderId="25" xfId="0" applyFont="1" applyFill="1" applyBorder="1" applyAlignment="1">
      <alignment vertical="center" wrapText="1"/>
    </xf>
    <xf numFmtId="0" fontId="63" fillId="42" borderId="25" xfId="0" applyFont="1" applyFill="1" applyBorder="1" applyAlignment="1">
      <alignment vertical="center" wrapText="1"/>
    </xf>
    <xf numFmtId="0" fontId="60" fillId="30" borderId="25" xfId="0" applyFont="1" applyFill="1" applyBorder="1" applyAlignment="1">
      <alignment vertical="center" wrapText="1"/>
    </xf>
    <xf numFmtId="0" fontId="63" fillId="30" borderId="25" xfId="0" applyFont="1" applyFill="1" applyBorder="1" applyAlignment="1">
      <alignment vertical="center" wrapText="1"/>
    </xf>
    <xf numFmtId="0" fontId="63" fillId="39" borderId="25" xfId="0" applyFont="1" applyFill="1" applyBorder="1" applyAlignment="1">
      <alignment vertical="center" wrapText="1"/>
    </xf>
    <xf numFmtId="0" fontId="59" fillId="30" borderId="25" xfId="0" applyFont="1" applyFill="1" applyBorder="1" applyAlignment="1">
      <alignment vertical="center" textRotation="90" wrapText="1"/>
    </xf>
    <xf numFmtId="0" fontId="59" fillId="31" borderId="25" xfId="0" applyFont="1" applyFill="1" applyBorder="1" applyAlignment="1">
      <alignment horizontal="center" vertical="center" textRotation="90" wrapText="1"/>
    </xf>
    <xf numFmtId="0" fontId="59" fillId="32" borderId="25" xfId="0" applyFont="1" applyFill="1" applyBorder="1" applyAlignment="1">
      <alignment vertical="center" textRotation="90" wrapText="1"/>
    </xf>
    <xf numFmtId="0" fontId="59" fillId="33" borderId="25" xfId="0" applyFont="1" applyFill="1" applyBorder="1" applyAlignment="1">
      <alignment horizontal="center" vertical="center" textRotation="90" wrapText="1"/>
    </xf>
    <xf numFmtId="0" fontId="59" fillId="28" borderId="25" xfId="0" applyFont="1" applyFill="1" applyBorder="1" applyAlignment="1">
      <alignment horizontal="center" vertical="center" textRotation="90" wrapText="1"/>
    </xf>
    <xf numFmtId="0" fontId="59" fillId="34" borderId="25" xfId="0" applyFont="1" applyFill="1" applyBorder="1" applyAlignment="1">
      <alignment vertical="center" textRotation="90" wrapText="1"/>
    </xf>
    <xf numFmtId="0" fontId="59" fillId="29" borderId="25" xfId="0" applyFont="1" applyFill="1" applyBorder="1" applyAlignment="1">
      <alignment vertical="center" textRotation="90" wrapText="1"/>
    </xf>
    <xf numFmtId="0" fontId="59" fillId="35" borderId="25" xfId="0" applyFont="1" applyFill="1" applyBorder="1" applyAlignment="1">
      <alignment vertical="center" textRotation="90" wrapText="1"/>
    </xf>
    <xf numFmtId="0" fontId="59" fillId="36" borderId="25" xfId="0" applyFont="1" applyFill="1" applyBorder="1" applyAlignment="1">
      <alignment horizontal="center" vertical="center" textRotation="90" wrapText="1"/>
    </xf>
    <xf numFmtId="0" fontId="59" fillId="37" borderId="25" xfId="0" applyFont="1" applyFill="1" applyBorder="1" applyAlignment="1">
      <alignment horizontal="center" vertical="center" textRotation="90" wrapText="1"/>
    </xf>
    <xf numFmtId="0" fontId="59" fillId="38" borderId="25" xfId="0" applyFont="1" applyFill="1" applyBorder="1" applyAlignment="1">
      <alignment horizontal="center" vertical="center" textRotation="90" wrapText="1"/>
    </xf>
    <xf numFmtId="0" fontId="59" fillId="39" borderId="25" xfId="0" applyFont="1" applyFill="1" applyBorder="1" applyAlignment="1">
      <alignment horizontal="center" vertical="center" textRotation="90" wrapText="1"/>
    </xf>
    <xf numFmtId="0" fontId="59" fillId="40" borderId="25" xfId="0" applyFont="1" applyFill="1" applyBorder="1" applyAlignment="1">
      <alignment vertical="center" textRotation="90" wrapText="1"/>
    </xf>
    <xf numFmtId="0" fontId="59" fillId="41" borderId="25" xfId="0" applyFont="1" applyFill="1" applyBorder="1" applyAlignment="1">
      <alignment vertical="center" textRotation="90" wrapText="1"/>
    </xf>
    <xf numFmtId="0" fontId="59" fillId="42" borderId="25" xfId="0" applyFont="1" applyFill="1" applyBorder="1" applyAlignment="1">
      <alignment horizontal="center" vertical="center" textRotation="90" wrapText="1"/>
    </xf>
    <xf numFmtId="0" fontId="62" fillId="14" borderId="12" xfId="0" applyFont="1" applyFill="1" applyBorder="1" applyAlignment="1">
      <alignment horizontal="center" vertical="top" textRotation="90" wrapText="1"/>
    </xf>
    <xf numFmtId="186" fontId="60" fillId="30" borderId="25" xfId="0" applyNumberFormat="1" applyFont="1" applyFill="1" applyBorder="1" applyAlignment="1">
      <alignment horizontal="center" vertical="center" wrapText="1"/>
    </xf>
    <xf numFmtId="186" fontId="65" fillId="31" borderId="25" xfId="0" applyNumberFormat="1" applyFont="1" applyFill="1" applyBorder="1" applyAlignment="1">
      <alignment horizontal="center" vertical="center" wrapText="1"/>
    </xf>
    <xf numFmtId="186" fontId="63" fillId="32" borderId="25" xfId="0" applyNumberFormat="1" applyFont="1" applyFill="1" applyBorder="1" applyAlignment="1">
      <alignment vertical="center" wrapText="1"/>
    </xf>
    <xf numFmtId="186" fontId="63" fillId="33" borderId="25" xfId="0" applyNumberFormat="1" applyFont="1" applyFill="1" applyBorder="1" applyAlignment="1">
      <alignment vertical="center" wrapText="1"/>
    </xf>
    <xf numFmtId="186" fontId="65" fillId="28" borderId="25" xfId="0" applyNumberFormat="1" applyFont="1" applyFill="1" applyBorder="1" applyAlignment="1">
      <alignment horizontal="center" vertical="center" wrapText="1"/>
    </xf>
    <xf numFmtId="186" fontId="10" fillId="34" borderId="25" xfId="0" applyNumberFormat="1" applyFont="1" applyFill="1" applyBorder="1" applyAlignment="1">
      <alignment horizontal="center" vertical="center" wrapText="1"/>
    </xf>
    <xf numFmtId="186" fontId="63" fillId="29" borderId="25" xfId="0" applyNumberFormat="1" applyFont="1" applyFill="1" applyBorder="1" applyAlignment="1">
      <alignment vertical="center" wrapText="1"/>
    </xf>
    <xf numFmtId="186" fontId="63" fillId="35" borderId="25" xfId="0" applyNumberFormat="1" applyFont="1" applyFill="1" applyBorder="1" applyAlignment="1">
      <alignment vertical="center" wrapText="1"/>
    </xf>
    <xf numFmtId="186" fontId="65" fillId="36" borderId="25" xfId="0" applyNumberFormat="1" applyFont="1" applyFill="1" applyBorder="1" applyAlignment="1">
      <alignment horizontal="center" vertical="center" wrapText="1"/>
    </xf>
    <xf numFmtId="186" fontId="63" fillId="37" borderId="25" xfId="0" applyNumberFormat="1" applyFont="1" applyFill="1" applyBorder="1" applyAlignment="1">
      <alignment vertical="center" wrapText="1"/>
    </xf>
    <xf numFmtId="186" fontId="63" fillId="38" borderId="25" xfId="0" applyNumberFormat="1" applyFont="1" applyFill="1" applyBorder="1" applyAlignment="1">
      <alignment vertical="center" wrapText="1"/>
    </xf>
    <xf numFmtId="186" fontId="65" fillId="39" borderId="25" xfId="0" applyNumberFormat="1" applyFont="1" applyFill="1" applyBorder="1" applyAlignment="1">
      <alignment horizontal="center" vertical="center" wrapText="1"/>
    </xf>
    <xf numFmtId="186" fontId="65" fillId="40" borderId="25" xfId="0" applyNumberFormat="1" applyFont="1" applyFill="1" applyBorder="1" applyAlignment="1">
      <alignment horizontal="center" vertical="center" wrapText="1"/>
    </xf>
    <xf numFmtId="186" fontId="65" fillId="41" borderId="25" xfId="0" applyNumberFormat="1" applyFont="1" applyFill="1" applyBorder="1" applyAlignment="1">
      <alignment horizontal="center" vertical="center" wrapText="1"/>
    </xf>
    <xf numFmtId="186" fontId="65" fillId="42" borderId="25" xfId="0" applyNumberFormat="1" applyFont="1" applyFill="1" applyBorder="1" applyAlignment="1">
      <alignment horizontal="center" vertical="center" wrapText="1"/>
    </xf>
    <xf numFmtId="186" fontId="65" fillId="30" borderId="25" xfId="0" applyNumberFormat="1" applyFont="1" applyFill="1" applyBorder="1" applyAlignment="1">
      <alignment horizontal="center" vertical="center" wrapText="1"/>
    </xf>
    <xf numFmtId="186" fontId="65" fillId="33" borderId="25" xfId="0" applyNumberFormat="1" applyFont="1" applyFill="1" applyBorder="1" applyAlignment="1">
      <alignment horizontal="center" vertical="center" wrapText="1"/>
    </xf>
    <xf numFmtId="186" fontId="65" fillId="35" borderId="25" xfId="0" applyNumberFormat="1" applyFont="1" applyFill="1" applyBorder="1" applyAlignment="1">
      <alignment horizontal="center" vertical="center" wrapText="1"/>
    </xf>
    <xf numFmtId="186" fontId="65" fillId="38" borderId="25" xfId="0" applyNumberFormat="1" applyFont="1" applyFill="1" applyBorder="1" applyAlignment="1">
      <alignment horizontal="center" vertical="center" wrapText="1"/>
    </xf>
    <xf numFmtId="186" fontId="65" fillId="32" borderId="25" xfId="0" applyNumberFormat="1" applyFont="1" applyFill="1" applyBorder="1" applyAlignment="1">
      <alignment horizontal="center" vertical="center" wrapText="1"/>
    </xf>
    <xf numFmtId="186" fontId="65" fillId="29" borderId="25" xfId="0" applyNumberFormat="1" applyFont="1" applyFill="1" applyBorder="1" applyAlignment="1">
      <alignment horizontal="center" vertical="center" wrapText="1"/>
    </xf>
    <xf numFmtId="186" fontId="65" fillId="37" borderId="25" xfId="0" applyNumberFormat="1" applyFont="1" applyFill="1" applyBorder="1" applyAlignment="1">
      <alignment horizontal="center" vertical="center" wrapText="1"/>
    </xf>
    <xf numFmtId="186" fontId="63" fillId="31" borderId="25" xfId="0" applyNumberFormat="1" applyFont="1" applyFill="1" applyBorder="1" applyAlignment="1">
      <alignment vertical="center" wrapText="1"/>
    </xf>
    <xf numFmtId="186" fontId="63" fillId="40" borderId="25" xfId="0" applyNumberFormat="1" applyFont="1" applyFill="1" applyBorder="1" applyAlignment="1">
      <alignment vertical="center" wrapText="1"/>
    </xf>
    <xf numFmtId="186" fontId="63" fillId="41" borderId="25" xfId="0" applyNumberFormat="1" applyFont="1" applyFill="1" applyBorder="1" applyAlignment="1">
      <alignment vertical="center" wrapText="1"/>
    </xf>
    <xf numFmtId="186" fontId="63" fillId="42" borderId="25" xfId="0" applyNumberFormat="1" applyFont="1" applyFill="1" applyBorder="1" applyAlignment="1">
      <alignment vertical="center" wrapText="1"/>
    </xf>
    <xf numFmtId="186" fontId="60" fillId="30" borderId="25" xfId="0" applyNumberFormat="1" applyFont="1" applyFill="1" applyBorder="1" applyAlignment="1">
      <alignment vertical="center" wrapText="1"/>
    </xf>
    <xf numFmtId="186" fontId="60" fillId="32" borderId="25" xfId="0" applyNumberFormat="1" applyFont="1" applyFill="1" applyBorder="1" applyAlignment="1">
      <alignment vertical="center" wrapText="1"/>
    </xf>
    <xf numFmtId="186" fontId="60" fillId="33" borderId="25" xfId="0" applyNumberFormat="1" applyFont="1" applyFill="1" applyBorder="1" applyAlignment="1">
      <alignment vertical="center" wrapText="1"/>
    </xf>
    <xf numFmtId="186" fontId="60" fillId="29" borderId="25" xfId="0" applyNumberFormat="1" applyFont="1" applyFill="1" applyBorder="1" applyAlignment="1">
      <alignment vertical="center" wrapText="1"/>
    </xf>
    <xf numFmtId="186" fontId="60" fillId="35" borderId="25" xfId="0" applyNumberFormat="1" applyFont="1" applyFill="1" applyBorder="1" applyAlignment="1">
      <alignment vertical="center" wrapText="1"/>
    </xf>
    <xf numFmtId="186" fontId="60" fillId="37" borderId="25" xfId="0" applyNumberFormat="1" applyFont="1" applyFill="1" applyBorder="1" applyAlignment="1">
      <alignment vertical="center" wrapText="1"/>
    </xf>
    <xf numFmtId="186" fontId="60" fillId="38" borderId="25" xfId="0" applyNumberFormat="1" applyFont="1" applyFill="1" applyBorder="1" applyAlignment="1">
      <alignment vertical="center" wrapText="1"/>
    </xf>
    <xf numFmtId="186" fontId="60" fillId="31" borderId="25" xfId="0" applyNumberFormat="1" applyFont="1" applyFill="1" applyBorder="1" applyAlignment="1">
      <alignment horizontal="center" vertical="center" wrapText="1"/>
    </xf>
    <xf numFmtId="186" fontId="60" fillId="28" borderId="25" xfId="0" applyNumberFormat="1" applyFont="1" applyFill="1" applyBorder="1" applyAlignment="1">
      <alignment horizontal="center" vertical="center" wrapText="1"/>
    </xf>
    <xf numFmtId="186" fontId="5" fillId="34" borderId="25" xfId="0" applyNumberFormat="1" applyFont="1" applyFill="1" applyBorder="1" applyAlignment="1">
      <alignment horizontal="center" vertical="center" wrapText="1"/>
    </xf>
    <xf numFmtId="186" fontId="60" fillId="36" borderId="25" xfId="0" applyNumberFormat="1" applyFont="1" applyFill="1" applyBorder="1" applyAlignment="1">
      <alignment horizontal="center" vertical="center" wrapText="1"/>
    </xf>
    <xf numFmtId="186" fontId="60" fillId="39" borderId="25" xfId="0" applyNumberFormat="1" applyFont="1" applyFill="1" applyBorder="1" applyAlignment="1">
      <alignment horizontal="center" vertical="center" wrapText="1"/>
    </xf>
    <xf numFmtId="186" fontId="60" fillId="40" borderId="25" xfId="0" applyNumberFormat="1" applyFont="1" applyFill="1" applyBorder="1" applyAlignment="1">
      <alignment horizontal="center" vertical="center" wrapText="1"/>
    </xf>
    <xf numFmtId="186" fontId="60" fillId="41" borderId="25" xfId="0" applyNumberFormat="1" applyFont="1" applyFill="1" applyBorder="1" applyAlignment="1">
      <alignment horizontal="center" vertical="center" wrapText="1"/>
    </xf>
    <xf numFmtId="186" fontId="60" fillId="42" borderId="25" xfId="0" applyNumberFormat="1" applyFont="1" applyFill="1" applyBorder="1" applyAlignment="1">
      <alignment horizontal="center" vertical="center" wrapText="1"/>
    </xf>
    <xf numFmtId="0" fontId="59" fillId="30" borderId="55" xfId="0" applyFont="1" applyFill="1" applyBorder="1" applyAlignment="1">
      <alignment horizontal="center" vertical="center" wrapText="1"/>
    </xf>
    <xf numFmtId="0" fontId="59" fillId="30" borderId="31" xfId="0" applyFont="1" applyFill="1" applyBorder="1" applyAlignment="1">
      <alignment horizontal="center" vertical="center"/>
    </xf>
    <xf numFmtId="0" fontId="68" fillId="43" borderId="25" xfId="0" applyFont="1" applyFill="1" applyBorder="1" applyAlignment="1">
      <alignment horizontal="center" vertical="center" wrapText="1"/>
    </xf>
    <xf numFmtId="164" fontId="58" fillId="0" borderId="25" xfId="2" applyNumberFormat="1" applyFont="1" applyBorder="1" applyAlignment="1">
      <alignment horizontal="left" vertical="center" wrapText="1"/>
    </xf>
    <xf numFmtId="0" fontId="69" fillId="43" borderId="25" xfId="0" applyFont="1" applyFill="1" applyBorder="1" applyAlignment="1">
      <alignment horizontal="center" vertical="center" wrapText="1"/>
    </xf>
    <xf numFmtId="0" fontId="68" fillId="43" borderId="13" xfId="0" applyFont="1" applyFill="1" applyBorder="1" applyAlignment="1">
      <alignment horizontal="center" vertical="center" wrapText="1"/>
    </xf>
    <xf numFmtId="164" fontId="58" fillId="0" borderId="13" xfId="2" applyNumberFormat="1" applyFont="1" applyBorder="1" applyAlignment="1">
      <alignment horizontal="left" vertical="center" wrapText="1"/>
    </xf>
    <xf numFmtId="164" fontId="0" fillId="0" borderId="0" xfId="2" applyNumberFormat="1" applyFont="1" applyBorder="1" applyAlignment="1">
      <alignment vertical="center" wrapText="1"/>
    </xf>
    <xf numFmtId="44" fontId="25" fillId="5" borderId="38" xfId="2" applyFont="1" applyFill="1" applyBorder="1"/>
    <xf numFmtId="0" fontId="0" fillId="0" borderId="0" xfId="0" applyAlignment="1">
      <alignment horizontal="center"/>
    </xf>
    <xf numFmtId="0" fontId="59" fillId="14" borderId="25" xfId="0" applyFont="1" applyFill="1" applyBorder="1" applyAlignment="1">
      <alignment horizontal="center" vertical="center" textRotation="90" wrapText="1"/>
    </xf>
    <xf numFmtId="0" fontId="59" fillId="14" borderId="25" xfId="0" applyFont="1" applyFill="1" applyBorder="1" applyAlignment="1">
      <alignment horizontal="center" vertical="center" wrapText="1"/>
    </xf>
    <xf numFmtId="0" fontId="60" fillId="31" borderId="25" xfId="0" applyFont="1" applyFill="1" applyBorder="1" applyAlignment="1">
      <alignment vertical="center" wrapText="1"/>
    </xf>
    <xf numFmtId="0" fontId="63" fillId="28" borderId="25" xfId="0" applyFont="1" applyFill="1" applyBorder="1" applyAlignment="1">
      <alignment vertical="center" wrapText="1"/>
    </xf>
    <xf numFmtId="0" fontId="63" fillId="34" borderId="25" xfId="0" applyFont="1" applyFill="1" applyBorder="1" applyAlignment="1">
      <alignment vertical="center" wrapText="1"/>
    </xf>
    <xf numFmtId="0" fontId="63" fillId="36" borderId="25" xfId="0" applyFont="1" applyFill="1" applyBorder="1" applyAlignment="1">
      <alignment vertical="center" wrapText="1"/>
    </xf>
    <xf numFmtId="0" fontId="60" fillId="32" borderId="25" xfId="0" applyFont="1" applyFill="1" applyBorder="1" applyAlignment="1">
      <alignment vertical="center" wrapText="1"/>
    </xf>
    <xf numFmtId="0" fontId="60" fillId="30" borderId="25" xfId="0" applyFont="1" applyFill="1" applyBorder="1" applyAlignment="1">
      <alignment horizontal="right" vertical="center" wrapText="1"/>
    </xf>
    <xf numFmtId="0" fontId="60" fillId="31" borderId="25" xfId="0" applyFont="1" applyFill="1" applyBorder="1" applyAlignment="1">
      <alignment horizontal="right" vertical="center" wrapText="1"/>
    </xf>
    <xf numFmtId="0" fontId="0" fillId="34" borderId="25" xfId="0" applyFill="1" applyBorder="1" applyAlignment="1">
      <alignment vertical="center" wrapText="1"/>
    </xf>
    <xf numFmtId="0" fontId="60" fillId="31" borderId="25" xfId="0" applyFont="1" applyFill="1" applyBorder="1" applyAlignment="1">
      <alignment horizontal="center" vertical="center" wrapText="1"/>
    </xf>
    <xf numFmtId="0" fontId="60" fillId="14" borderId="25" xfId="0" applyFont="1" applyFill="1" applyBorder="1" applyAlignment="1">
      <alignment vertical="center" wrapText="1"/>
    </xf>
    <xf numFmtId="0" fontId="66" fillId="39" borderId="25" xfId="0" applyFont="1" applyFill="1" applyBorder="1" applyAlignment="1">
      <alignment vertical="center" wrapText="1"/>
    </xf>
    <xf numFmtId="0" fontId="66" fillId="30" borderId="25" xfId="0" applyFont="1" applyFill="1" applyBorder="1" applyAlignment="1">
      <alignment vertical="center" wrapText="1"/>
    </xf>
    <xf numFmtId="0" fontId="66" fillId="31" borderId="25" xfId="0" applyFont="1" applyFill="1" applyBorder="1" applyAlignment="1">
      <alignment vertical="center" wrapText="1"/>
    </xf>
    <xf numFmtId="0" fontId="66" fillId="32" borderId="25" xfId="0" applyFont="1" applyFill="1" applyBorder="1" applyAlignment="1">
      <alignment vertical="center" wrapText="1"/>
    </xf>
    <xf numFmtId="0" fontId="66" fillId="33" borderId="25" xfId="0" applyFont="1" applyFill="1" applyBorder="1" applyAlignment="1">
      <alignment vertical="center" wrapText="1"/>
    </xf>
    <xf numFmtId="0" fontId="66" fillId="28" borderId="25" xfId="0" applyFont="1" applyFill="1" applyBorder="1" applyAlignment="1">
      <alignment vertical="center" wrapText="1"/>
    </xf>
    <xf numFmtId="0" fontId="66" fillId="34" borderId="25" xfId="0" applyFont="1" applyFill="1" applyBorder="1" applyAlignment="1">
      <alignment vertical="center" wrapText="1"/>
    </xf>
    <xf numFmtId="0" fontId="66" fillId="29" borderId="25" xfId="0" applyFont="1" applyFill="1" applyBorder="1" applyAlignment="1">
      <alignment vertical="center" wrapText="1"/>
    </xf>
    <xf numFmtId="0" fontId="64" fillId="36" borderId="25" xfId="0" applyFont="1" applyFill="1" applyBorder="1" applyAlignment="1">
      <alignment vertical="center" wrapText="1"/>
    </xf>
    <xf numFmtId="0" fontId="64" fillId="37" borderId="25" xfId="0" applyFont="1" applyFill="1" applyBorder="1" applyAlignment="1">
      <alignment vertical="center" wrapText="1"/>
    </xf>
    <xf numFmtId="0" fontId="64" fillId="38" borderId="25" xfId="0" applyFont="1" applyFill="1" applyBorder="1" applyAlignment="1">
      <alignment vertical="center" wrapText="1"/>
    </xf>
    <xf numFmtId="0" fontId="64" fillId="39" borderId="25" xfId="0" applyFont="1" applyFill="1" applyBorder="1" applyAlignment="1">
      <alignment vertical="center" wrapText="1"/>
    </xf>
    <xf numFmtId="0" fontId="66" fillId="40" borderId="25" xfId="0" applyFont="1" applyFill="1" applyBorder="1" applyAlignment="1">
      <alignment vertical="center" wrapText="1"/>
    </xf>
    <xf numFmtId="0" fontId="66" fillId="41" borderId="25" xfId="0" applyFont="1" applyFill="1" applyBorder="1" applyAlignment="1">
      <alignment vertical="center" wrapText="1"/>
    </xf>
    <xf numFmtId="0" fontId="66" fillId="42" borderId="25" xfId="0" applyFont="1" applyFill="1" applyBorder="1" applyAlignment="1">
      <alignment vertical="center" wrapText="1"/>
    </xf>
    <xf numFmtId="0" fontId="64" fillId="30" borderId="25" xfId="0" applyFont="1" applyFill="1" applyBorder="1" applyAlignment="1">
      <alignment vertical="center" wrapText="1"/>
    </xf>
    <xf numFmtId="0" fontId="64" fillId="14" borderId="25" xfId="0" applyFont="1" applyFill="1" applyBorder="1" applyAlignment="1">
      <alignment vertical="center" wrapText="1"/>
    </xf>
    <xf numFmtId="0" fontId="66" fillId="37" borderId="25" xfId="0" applyFont="1" applyFill="1" applyBorder="1" applyAlignment="1">
      <alignment vertical="center" wrapText="1"/>
    </xf>
    <xf numFmtId="0" fontId="66" fillId="38" borderId="25" xfId="0" applyFont="1" applyFill="1" applyBorder="1" applyAlignment="1">
      <alignment vertical="center" wrapText="1"/>
    </xf>
    <xf numFmtId="0" fontId="64" fillId="31" borderId="25" xfId="0" applyFont="1" applyFill="1" applyBorder="1" applyAlignment="1">
      <alignment vertical="center" wrapText="1"/>
    </xf>
    <xf numFmtId="0" fontId="64" fillId="33" borderId="25" xfId="0" applyFont="1" applyFill="1" applyBorder="1" applyAlignment="1">
      <alignment vertical="center" wrapText="1"/>
    </xf>
    <xf numFmtId="0" fontId="64" fillId="35" borderId="25" xfId="0" applyFont="1" applyFill="1" applyBorder="1" applyAlignment="1">
      <alignment vertical="center" wrapText="1"/>
    </xf>
    <xf numFmtId="0" fontId="64" fillId="40" borderId="25" xfId="0" applyFont="1" applyFill="1" applyBorder="1" applyAlignment="1">
      <alignment vertical="center" wrapText="1"/>
    </xf>
    <xf numFmtId="0" fontId="60" fillId="33" borderId="25" xfId="0" applyFont="1" applyFill="1" applyBorder="1" applyAlignment="1">
      <alignment vertical="center" wrapText="1"/>
    </xf>
    <xf numFmtId="0" fontId="60" fillId="28" borderId="25" xfId="0" applyFont="1" applyFill="1" applyBorder="1" applyAlignment="1">
      <alignment vertical="center" wrapText="1"/>
    </xf>
    <xf numFmtId="0" fontId="60" fillId="34" borderId="25" xfId="0" applyFont="1" applyFill="1" applyBorder="1" applyAlignment="1">
      <alignment vertical="center" wrapText="1"/>
    </xf>
    <xf numFmtId="0" fontId="60" fillId="29" borderId="25" xfId="0" applyFont="1" applyFill="1" applyBorder="1" applyAlignment="1">
      <alignment vertical="center" wrapText="1"/>
    </xf>
    <xf numFmtId="0" fontId="60" fillId="35" borderId="25" xfId="0" applyFont="1" applyFill="1" applyBorder="1" applyAlignment="1">
      <alignment vertical="center" wrapText="1"/>
    </xf>
    <xf numFmtId="0" fontId="60" fillId="36" borderId="25" xfId="0" applyFont="1" applyFill="1" applyBorder="1" applyAlignment="1">
      <alignment horizontal="center" vertical="center" wrapText="1"/>
    </xf>
    <xf numFmtId="0" fontId="60" fillId="37" borderId="25" xfId="0" applyFont="1" applyFill="1" applyBorder="1" applyAlignment="1">
      <alignment vertical="center" wrapText="1"/>
    </xf>
    <xf numFmtId="0" fontId="60" fillId="38" borderId="25" xfId="0" applyFont="1" applyFill="1" applyBorder="1" applyAlignment="1">
      <alignment vertical="center" wrapText="1"/>
    </xf>
    <xf numFmtId="0" fontId="60" fillId="39" borderId="25" xfId="0" applyFont="1" applyFill="1" applyBorder="1" applyAlignment="1">
      <alignment vertical="center" wrapText="1"/>
    </xf>
    <xf numFmtId="0" fontId="60" fillId="40" borderId="25" xfId="0" applyFont="1" applyFill="1" applyBorder="1" applyAlignment="1">
      <alignment vertical="center" wrapText="1"/>
    </xf>
    <xf numFmtId="0" fontId="60" fillId="41" borderId="25" xfId="0" applyFont="1" applyFill="1" applyBorder="1" applyAlignment="1">
      <alignment vertical="center" wrapText="1"/>
    </xf>
    <xf numFmtId="0" fontId="63" fillId="30" borderId="13" xfId="0" applyFont="1" applyFill="1" applyBorder="1" applyAlignment="1">
      <alignment vertical="center" wrapText="1"/>
    </xf>
    <xf numFmtId="0" fontId="60" fillId="31" borderId="13" xfId="0" applyFont="1" applyFill="1" applyBorder="1" applyAlignment="1">
      <alignment vertical="center" wrapText="1"/>
    </xf>
    <xf numFmtId="187" fontId="0" fillId="14" borderId="59" xfId="0" applyNumberFormat="1" applyFill="1" applyBorder="1" applyAlignment="1">
      <alignment vertical="top" wrapText="1"/>
    </xf>
    <xf numFmtId="187" fontId="0" fillId="14" borderId="16" xfId="0" applyNumberFormat="1" applyFill="1" applyBorder="1" applyAlignment="1">
      <alignment vertical="top" wrapText="1"/>
    </xf>
    <xf numFmtId="187" fontId="0" fillId="14" borderId="22" xfId="0" applyNumberFormat="1" applyFill="1" applyBorder="1" applyAlignment="1">
      <alignment vertical="top" wrapText="1"/>
    </xf>
    <xf numFmtId="187" fontId="0" fillId="14" borderId="60" xfId="0" applyNumberFormat="1" applyFill="1" applyBorder="1" applyAlignment="1">
      <alignment vertical="top" wrapText="1"/>
    </xf>
    <xf numFmtId="0" fontId="63" fillId="14" borderId="25" xfId="0" applyFont="1" applyFill="1" applyBorder="1" applyAlignment="1">
      <alignment horizontal="center" vertical="center" wrapText="1"/>
    </xf>
    <xf numFmtId="183" fontId="23" fillId="2" borderId="10" xfId="3" applyNumberFormat="1" applyFont="1" applyFill="1" applyBorder="1" applyAlignment="1" applyProtection="1">
      <alignment horizontal="center" vertical="center"/>
      <protection locked="0"/>
    </xf>
    <xf numFmtId="44" fontId="0" fillId="0" borderId="25" xfId="2" applyFont="1" applyBorder="1" applyAlignment="1">
      <alignment horizontal="left" vertical="center"/>
    </xf>
    <xf numFmtId="44" fontId="0" fillId="0" borderId="13" xfId="2" applyFont="1" applyBorder="1" applyAlignment="1">
      <alignment horizontal="left" vertical="center"/>
    </xf>
    <xf numFmtId="186" fontId="60" fillId="35" borderId="25" xfId="0" applyNumberFormat="1" applyFont="1" applyFill="1" applyBorder="1" applyAlignment="1">
      <alignment horizontal="center" vertical="center" wrapText="1"/>
    </xf>
    <xf numFmtId="0" fontId="20" fillId="3" borderId="39" xfId="0" applyFont="1" applyFill="1" applyBorder="1" applyAlignment="1" applyProtection="1">
      <alignment vertical="center"/>
    </xf>
    <xf numFmtId="0" fontId="20" fillId="3" borderId="37" xfId="0" applyFont="1" applyFill="1" applyBorder="1" applyAlignment="1" applyProtection="1">
      <alignment vertical="center"/>
    </xf>
    <xf numFmtId="167" fontId="20" fillId="2" borderId="10" xfId="3" applyNumberFormat="1" applyFont="1" applyFill="1" applyBorder="1" applyAlignment="1" applyProtection="1">
      <alignment horizontal="center" vertical="center"/>
      <protection locked="0"/>
    </xf>
    <xf numFmtId="10" fontId="19" fillId="7" borderId="38" xfId="0" applyNumberFormat="1" applyFont="1" applyFill="1" applyBorder="1" applyAlignment="1" applyProtection="1">
      <alignment horizontal="center" vertical="center"/>
    </xf>
    <xf numFmtId="0" fontId="20" fillId="6" borderId="38" xfId="0" applyFont="1" applyFill="1" applyBorder="1" applyAlignment="1" applyProtection="1">
      <alignment horizontal="center" vertical="center"/>
    </xf>
    <xf numFmtId="0" fontId="62" fillId="14" borderId="12" xfId="0" applyFont="1" applyFill="1" applyBorder="1" applyAlignment="1">
      <alignment horizontal="center" vertical="top" textRotation="90" wrapText="1"/>
    </xf>
    <xf numFmtId="0" fontId="66" fillId="14" borderId="39" xfId="0" applyFont="1" applyFill="1" applyBorder="1" applyAlignment="1">
      <alignment horizontal="right" vertical="center" wrapText="1"/>
    </xf>
    <xf numFmtId="0" fontId="66" fillId="14" borderId="37" xfId="0" applyFont="1" applyFill="1" applyBorder="1" applyAlignment="1">
      <alignment horizontal="right" vertical="center" wrapText="1"/>
    </xf>
    <xf numFmtId="0" fontId="66" fillId="14" borderId="38" xfId="0" applyFont="1" applyFill="1" applyBorder="1" applyAlignment="1">
      <alignment horizontal="right" vertical="center" wrapText="1"/>
    </xf>
    <xf numFmtId="0" fontId="77" fillId="40" borderId="25" xfId="0" applyFont="1" applyFill="1" applyBorder="1" applyAlignment="1">
      <alignment vertical="center" wrapText="1"/>
    </xf>
    <xf numFmtId="0" fontId="77" fillId="35" borderId="25" xfId="0" applyFont="1" applyFill="1" applyBorder="1" applyAlignment="1">
      <alignment vertical="center" wrapText="1"/>
    </xf>
    <xf numFmtId="0" fontId="77" fillId="36" borderId="25" xfId="0" applyFont="1" applyFill="1" applyBorder="1" applyAlignment="1">
      <alignment vertical="center" wrapText="1"/>
    </xf>
    <xf numFmtId="0" fontId="77" fillId="37" borderId="25" xfId="0" applyFont="1" applyFill="1" applyBorder="1" applyAlignment="1">
      <alignment vertical="center" wrapText="1"/>
    </xf>
    <xf numFmtId="0" fontId="77" fillId="38" borderId="25" xfId="0" applyFont="1" applyFill="1" applyBorder="1" applyAlignment="1">
      <alignment vertical="center" wrapText="1"/>
    </xf>
    <xf numFmtId="0" fontId="65" fillId="30" borderId="25" xfId="0" applyFont="1" applyFill="1" applyBorder="1" applyAlignment="1">
      <alignment vertical="center" wrapText="1"/>
    </xf>
    <xf numFmtId="0" fontId="65" fillId="32" borderId="25" xfId="0" applyFont="1" applyFill="1" applyBorder="1" applyAlignment="1">
      <alignment vertical="center" wrapText="1"/>
    </xf>
    <xf numFmtId="0" fontId="65" fillId="33" borderId="25" xfId="0" applyFont="1" applyFill="1" applyBorder="1" applyAlignment="1">
      <alignment vertical="center" wrapText="1"/>
    </xf>
    <xf numFmtId="0" fontId="65" fillId="28" borderId="25" xfId="0" applyFont="1" applyFill="1" applyBorder="1" applyAlignment="1">
      <alignment vertical="center" wrapText="1"/>
    </xf>
    <xf numFmtId="0" fontId="65" fillId="34" borderId="25" xfId="0" applyFont="1" applyFill="1" applyBorder="1" applyAlignment="1">
      <alignment vertical="center" wrapText="1"/>
    </xf>
    <xf numFmtId="0" fontId="65" fillId="29" borderId="25" xfId="0" applyFont="1" applyFill="1" applyBorder="1" applyAlignment="1">
      <alignment vertical="center" wrapText="1"/>
    </xf>
    <xf numFmtId="0" fontId="65" fillId="35" borderId="25" xfId="0" applyFont="1" applyFill="1" applyBorder="1" applyAlignment="1">
      <alignment vertical="center" wrapText="1"/>
    </xf>
    <xf numFmtId="0" fontId="65" fillId="36" borderId="25" xfId="0" applyFont="1" applyFill="1" applyBorder="1" applyAlignment="1">
      <alignment vertical="center" wrapText="1"/>
    </xf>
    <xf numFmtId="0" fontId="65" fillId="37" borderId="25" xfId="0" applyFont="1" applyFill="1" applyBorder="1" applyAlignment="1">
      <alignment vertical="center" wrapText="1"/>
    </xf>
    <xf numFmtId="0" fontId="65" fillId="38" borderId="25" xfId="0" applyFont="1" applyFill="1" applyBorder="1" applyAlignment="1">
      <alignment vertical="center" wrapText="1"/>
    </xf>
    <xf numFmtId="0" fontId="65" fillId="39" borderId="25" xfId="0" applyFont="1" applyFill="1" applyBorder="1" applyAlignment="1">
      <alignment vertical="center" wrapText="1"/>
    </xf>
    <xf numFmtId="0" fontId="65" fillId="40" borderId="25" xfId="0" applyFont="1" applyFill="1" applyBorder="1" applyAlignment="1">
      <alignment vertical="center" wrapText="1"/>
    </xf>
    <xf numFmtId="0" fontId="65" fillId="41" borderId="25" xfId="0" applyFont="1" applyFill="1" applyBorder="1" applyAlignment="1">
      <alignment vertical="center" wrapText="1"/>
    </xf>
    <xf numFmtId="0" fontId="65" fillId="42" borderId="25" xfId="0" applyFont="1" applyFill="1" applyBorder="1" applyAlignment="1">
      <alignment vertical="center" wrapText="1"/>
    </xf>
    <xf numFmtId="0" fontId="76" fillId="0" borderId="0" xfId="0" applyFont="1"/>
    <xf numFmtId="0" fontId="9" fillId="12" borderId="10" xfId="0" applyFont="1" applyFill="1" applyBorder="1" applyAlignment="1" applyProtection="1">
      <alignment horizontal="center" vertical="center"/>
    </xf>
    <xf numFmtId="0" fontId="5" fillId="7" borderId="7" xfId="0" applyFont="1" applyFill="1" applyBorder="1" applyAlignment="1" applyProtection="1">
      <alignment horizontal="left" vertical="center"/>
    </xf>
    <xf numFmtId="0" fontId="5" fillId="7" borderId="8" xfId="0" applyFont="1" applyFill="1" applyBorder="1" applyAlignment="1" applyProtection="1">
      <alignment horizontal="left" vertical="center"/>
    </xf>
    <xf numFmtId="0" fontId="5" fillId="7" borderId="9" xfId="0" applyFont="1" applyFill="1" applyBorder="1" applyAlignment="1" applyProtection="1">
      <alignment horizontal="left"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168" fontId="5" fillId="9" borderId="0" xfId="0" applyNumberFormat="1" applyFont="1" applyFill="1" applyBorder="1" applyAlignment="1" applyProtection="1">
      <alignment horizontal="center" vertical="center"/>
    </xf>
    <xf numFmtId="0" fontId="5" fillId="9" borderId="0" xfId="0" applyFont="1" applyFill="1" applyBorder="1" applyAlignment="1" applyProtection="1">
      <alignment horizontal="center" vertical="center"/>
    </xf>
    <xf numFmtId="0" fontId="11" fillId="12" borderId="10" xfId="0" applyFont="1" applyFill="1" applyBorder="1" applyAlignment="1" applyProtection="1">
      <alignment horizontal="center" vertical="center"/>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7" borderId="10" xfId="0" applyFont="1" applyFill="1" applyBorder="1" applyAlignment="1" applyProtection="1">
      <alignment horizontal="left" vertical="center"/>
    </xf>
    <xf numFmtId="0" fontId="5" fillId="3" borderId="10"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9" fillId="9" borderId="10" xfId="0" applyFont="1" applyFill="1" applyBorder="1" applyAlignment="1" applyProtection="1">
      <alignment horizontal="center" vertical="center"/>
    </xf>
    <xf numFmtId="0" fontId="9" fillId="11" borderId="1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5" fillId="7" borderId="10" xfId="0" applyFont="1" applyFill="1" applyBorder="1" applyAlignment="1" applyProtection="1">
      <alignment vertical="center"/>
    </xf>
    <xf numFmtId="0" fontId="5" fillId="0" borderId="10" xfId="0" applyFont="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9" xfId="0" applyFont="1" applyFill="1" applyBorder="1" applyAlignment="1" applyProtection="1">
      <alignment horizontal="left" vertical="center"/>
    </xf>
    <xf numFmtId="0" fontId="5" fillId="3" borderId="7"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5" fillId="3" borderId="9" xfId="0" applyFont="1" applyFill="1" applyBorder="1" applyAlignment="1" applyProtection="1">
      <alignment horizontal="right" vertical="center"/>
    </xf>
    <xf numFmtId="9" fontId="5" fillId="2" borderId="7" xfId="0" applyNumberFormat="1"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10" fontId="12" fillId="2" borderId="7" xfId="0" applyNumberFormat="1" applyFont="1" applyFill="1" applyBorder="1" applyAlignment="1" applyProtection="1">
      <alignment horizontal="center" vertical="center"/>
      <protection locked="0"/>
    </xf>
    <xf numFmtId="10" fontId="12" fillId="2" borderId="9" xfId="0" applyNumberFormat="1"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xf>
    <xf numFmtId="0" fontId="5" fillId="7" borderId="10" xfId="0" quotePrefix="1" applyFont="1" applyFill="1" applyBorder="1" applyAlignment="1" applyProtection="1">
      <alignment horizontal="center" vertical="center"/>
    </xf>
    <xf numFmtId="0" fontId="12" fillId="7" borderId="10" xfId="0" applyFont="1" applyFill="1" applyBorder="1" applyAlignment="1" applyProtection="1">
      <alignment horizontal="center" vertical="center"/>
    </xf>
    <xf numFmtId="44" fontId="5" fillId="0" borderId="7" xfId="2" applyFont="1" applyBorder="1" applyAlignment="1">
      <alignment horizontal="center" vertical="center"/>
    </xf>
    <xf numFmtId="44" fontId="5" fillId="0" borderId="8" xfId="2" applyFont="1" applyBorder="1" applyAlignment="1">
      <alignment horizontal="center" vertical="center"/>
    </xf>
    <xf numFmtId="0" fontId="5" fillId="12" borderId="10" xfId="0" applyFont="1" applyFill="1" applyBorder="1" applyAlignment="1" applyProtection="1">
      <alignment horizontal="center" vertical="center"/>
    </xf>
    <xf numFmtId="0" fontId="9" fillId="7" borderId="7" xfId="0" applyFont="1" applyFill="1" applyBorder="1" applyAlignment="1" applyProtection="1">
      <alignment horizontal="center" vertical="center"/>
    </xf>
    <xf numFmtId="0" fontId="9" fillId="7" borderId="8" xfId="0" applyFont="1" applyFill="1" applyBorder="1" applyAlignment="1" applyProtection="1">
      <alignment horizontal="center" vertical="center"/>
    </xf>
    <xf numFmtId="0" fontId="9" fillId="7" borderId="9" xfId="0" applyFont="1" applyFill="1" applyBorder="1" applyAlignment="1" applyProtection="1">
      <alignment horizontal="center" vertical="center"/>
    </xf>
    <xf numFmtId="44" fontId="11" fillId="0" borderId="7" xfId="2" applyFont="1" applyBorder="1" applyAlignment="1" applyProtection="1">
      <alignment horizontal="center" vertical="center"/>
    </xf>
    <xf numFmtId="44" fontId="11" fillId="0" borderId="9" xfId="2" applyFont="1" applyBorder="1" applyAlignment="1" applyProtection="1">
      <alignment horizontal="center" vertical="center"/>
    </xf>
    <xf numFmtId="0" fontId="5" fillId="7" borderId="7"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0" fontId="5" fillId="7" borderId="9" xfId="0" applyFont="1" applyFill="1" applyBorder="1" applyAlignment="1" applyProtection="1">
      <alignment horizontal="center" vertical="center"/>
    </xf>
    <xf numFmtId="166" fontId="12" fillId="7" borderId="7" xfId="0" applyNumberFormat="1" applyFont="1" applyFill="1" applyBorder="1" applyAlignment="1" applyProtection="1">
      <alignment horizontal="center" vertical="center" wrapText="1"/>
    </xf>
    <xf numFmtId="166" fontId="12" fillId="7" borderId="9" xfId="0" applyNumberFormat="1" applyFont="1" applyFill="1" applyBorder="1" applyAlignment="1" applyProtection="1">
      <alignment horizontal="center" vertical="center" wrapText="1"/>
    </xf>
    <xf numFmtId="10" fontId="12" fillId="9" borderId="10" xfId="0" applyNumberFormat="1" applyFont="1" applyFill="1" applyBorder="1" applyAlignment="1" applyProtection="1">
      <alignment horizontal="center" vertical="center"/>
    </xf>
    <xf numFmtId="10" fontId="5" fillId="2" borderId="7" xfId="0" applyNumberFormat="1" applyFont="1" applyFill="1" applyBorder="1" applyAlignment="1" applyProtection="1">
      <alignment horizontal="center" vertical="center"/>
    </xf>
    <xf numFmtId="10" fontId="5" fillId="2" borderId="9" xfId="0" applyNumberFormat="1" applyFont="1" applyFill="1" applyBorder="1" applyAlignment="1" applyProtection="1">
      <alignment horizontal="center" vertical="center"/>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9" fillId="0" borderId="7" xfId="0" applyFont="1" applyBorder="1" applyAlignment="1">
      <alignment horizontal="left"/>
    </xf>
    <xf numFmtId="0" fontId="9" fillId="0" borderId="8" xfId="0" applyFont="1" applyBorder="1" applyAlignment="1">
      <alignment horizontal="left"/>
    </xf>
    <xf numFmtId="0" fontId="9" fillId="0" borderId="9" xfId="0" applyFont="1" applyBorder="1" applyAlignment="1">
      <alignment horizontal="left"/>
    </xf>
    <xf numFmtId="0" fontId="5" fillId="12" borderId="10" xfId="0" applyFont="1" applyFill="1" applyBorder="1" applyAlignment="1" applyProtection="1">
      <alignment horizontal="left" vertical="center"/>
    </xf>
    <xf numFmtId="0" fontId="15" fillId="13" borderId="10" xfId="0" applyFont="1" applyFill="1" applyBorder="1" applyAlignment="1" applyProtection="1">
      <alignment horizontal="left" vertical="center" wrapText="1"/>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2" fillId="4" borderId="10" xfId="0" applyFont="1" applyFill="1" applyBorder="1" applyAlignment="1" applyProtection="1">
      <alignment horizontal="center" vertical="center"/>
    </xf>
    <xf numFmtId="44" fontId="5"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44" fillId="5" borderId="20" xfId="0" applyFont="1" applyFill="1" applyBorder="1" applyAlignment="1">
      <alignment horizontal="center"/>
    </xf>
    <xf numFmtId="0" fontId="44" fillId="5" borderId="21" xfId="0" applyFont="1" applyFill="1" applyBorder="1" applyAlignment="1">
      <alignment horizontal="center"/>
    </xf>
    <xf numFmtId="0" fontId="44" fillId="5" borderId="22" xfId="0" applyFont="1" applyFill="1" applyBorder="1" applyAlignment="1">
      <alignment horizontal="center"/>
    </xf>
    <xf numFmtId="0" fontId="30" fillId="21" borderId="29" xfId="0" applyFont="1" applyFill="1" applyBorder="1" applyAlignment="1">
      <alignment horizontal="left" vertical="center"/>
    </xf>
    <xf numFmtId="0" fontId="30" fillId="0" borderId="30" xfId="0" applyFont="1" applyBorder="1" applyAlignment="1">
      <alignment horizontal="left" vertical="center"/>
    </xf>
    <xf numFmtId="0" fontId="30" fillId="21" borderId="32" xfId="0" applyFont="1" applyFill="1" applyBorder="1" applyAlignment="1">
      <alignment horizontal="left" vertical="center"/>
    </xf>
    <xf numFmtId="0" fontId="30" fillId="0" borderId="0" xfId="0" applyFont="1" applyBorder="1" applyAlignment="1">
      <alignment horizontal="left" vertical="center"/>
    </xf>
    <xf numFmtId="0" fontId="44" fillId="5" borderId="34" xfId="0" applyFont="1" applyFill="1" applyBorder="1" applyAlignment="1">
      <alignment horizontal="center" vertical="center" wrapText="1"/>
    </xf>
    <xf numFmtId="0" fontId="44" fillId="5" borderId="5" xfId="0" applyFont="1" applyFill="1" applyBorder="1" applyAlignment="1">
      <alignment horizontal="center" vertical="center"/>
    </xf>
    <xf numFmtId="0" fontId="44" fillId="5" borderId="24" xfId="0" applyFont="1" applyFill="1" applyBorder="1" applyAlignment="1">
      <alignment horizontal="center" vertical="center"/>
    </xf>
    <xf numFmtId="0" fontId="75" fillId="0" borderId="0" xfId="0" applyFont="1" applyAlignment="1">
      <alignment horizontal="center"/>
    </xf>
    <xf numFmtId="0" fontId="44" fillId="5" borderId="14" xfId="0" applyFont="1" applyFill="1" applyBorder="1" applyAlignment="1">
      <alignment horizontal="center" vertical="center" wrapText="1"/>
    </xf>
    <xf numFmtId="0" fontId="44" fillId="5" borderId="15" xfId="0" applyFont="1" applyFill="1" applyBorder="1" applyAlignment="1">
      <alignment horizontal="center" vertical="center"/>
    </xf>
    <xf numFmtId="0" fontId="44" fillId="5" borderId="16" xfId="0" applyFont="1" applyFill="1" applyBorder="1" applyAlignment="1">
      <alignment horizontal="center" vertical="center"/>
    </xf>
    <xf numFmtId="0" fontId="44" fillId="5" borderId="40" xfId="0" applyFont="1" applyFill="1" applyBorder="1" applyAlignment="1">
      <alignment horizontal="center" vertical="center"/>
    </xf>
    <xf numFmtId="0" fontId="44" fillId="5" borderId="26" xfId="0" applyFont="1" applyFill="1" applyBorder="1" applyAlignment="1">
      <alignment horizontal="center" vertical="center"/>
    </xf>
    <xf numFmtId="0" fontId="44" fillId="5" borderId="3" xfId="0" applyFont="1" applyFill="1" applyBorder="1" applyAlignment="1">
      <alignment horizontal="center" vertical="center"/>
    </xf>
    <xf numFmtId="0" fontId="0" fillId="0" borderId="0" xfId="0" applyAlignment="1">
      <alignment horizontal="center"/>
    </xf>
    <xf numFmtId="0" fontId="0" fillId="0" borderId="53" xfId="0" applyBorder="1" applyAlignment="1">
      <alignment horizontal="center"/>
    </xf>
    <xf numFmtId="0" fontId="71" fillId="0" borderId="61" xfId="0" applyFont="1" applyFill="1" applyBorder="1" applyAlignment="1">
      <alignment horizontal="center"/>
    </xf>
    <xf numFmtId="0" fontId="71" fillId="0" borderId="62" xfId="0" applyFont="1" applyFill="1" applyBorder="1" applyAlignment="1">
      <alignment horizontal="center"/>
    </xf>
    <xf numFmtId="0" fontId="71" fillId="0" borderId="63" xfId="0" applyFont="1" applyFill="1" applyBorder="1" applyAlignment="1">
      <alignment horizontal="center"/>
    </xf>
    <xf numFmtId="0" fontId="72" fillId="0" borderId="0" xfId="0" applyFont="1" applyFill="1" applyBorder="1" applyAlignment="1">
      <alignment horizontal="center"/>
    </xf>
    <xf numFmtId="0" fontId="72" fillId="0" borderId="64" xfId="0" applyFont="1" applyFill="1" applyBorder="1" applyAlignment="1">
      <alignment horizontal="center" vertical="center"/>
    </xf>
    <xf numFmtId="0" fontId="72" fillId="0" borderId="65" xfId="0" applyFont="1" applyFill="1" applyBorder="1" applyAlignment="1">
      <alignment horizontal="center" vertical="center"/>
    </xf>
    <xf numFmtId="0" fontId="72" fillId="0" borderId="66" xfId="0" applyFont="1" applyFill="1" applyBorder="1" applyAlignment="1">
      <alignment horizontal="center" vertical="center"/>
    </xf>
    <xf numFmtId="0" fontId="72" fillId="0" borderId="67" xfId="0" applyFont="1" applyFill="1" applyBorder="1" applyAlignment="1">
      <alignment horizontal="left"/>
    </xf>
    <xf numFmtId="0" fontId="72" fillId="0" borderId="67" xfId="0" applyFont="1" applyFill="1" applyBorder="1" applyAlignment="1">
      <alignment horizontal="center"/>
    </xf>
    <xf numFmtId="0" fontId="72" fillId="0" borderId="68" xfId="0" applyFont="1" applyFill="1" applyBorder="1" applyAlignment="1">
      <alignment horizontal="left"/>
    </xf>
    <xf numFmtId="0" fontId="36" fillId="0" borderId="69" xfId="0" applyFont="1" applyBorder="1" applyAlignment="1">
      <alignment horizontal="left" vertical="center"/>
    </xf>
    <xf numFmtId="0" fontId="74" fillId="0" borderId="32" xfId="0" applyFont="1" applyBorder="1" applyAlignment="1">
      <alignment horizontal="center"/>
    </xf>
    <xf numFmtId="0" fontId="74" fillId="0" borderId="0" xfId="0" applyFont="1" applyBorder="1" applyAlignment="1">
      <alignment horizontal="center"/>
    </xf>
    <xf numFmtId="0" fontId="74" fillId="0" borderId="33" xfId="0" applyFont="1" applyBorder="1" applyAlignment="1">
      <alignment horizontal="center"/>
    </xf>
    <xf numFmtId="0" fontId="74" fillId="0" borderId="52" xfId="0" applyFont="1" applyBorder="1" applyAlignment="1">
      <alignment horizontal="center"/>
    </xf>
    <xf numFmtId="0" fontId="74" fillId="0" borderId="53" xfId="0" applyFont="1" applyBorder="1" applyAlignment="1">
      <alignment horizontal="center"/>
    </xf>
    <xf numFmtId="0" fontId="74" fillId="0" borderId="54" xfId="0" applyFont="1" applyBorder="1" applyAlignment="1">
      <alignment horizontal="center"/>
    </xf>
    <xf numFmtId="0" fontId="73" fillId="21" borderId="29" xfId="0" applyFont="1" applyFill="1" applyBorder="1" applyAlignment="1">
      <alignment horizontal="center" vertical="center"/>
    </xf>
    <xf numFmtId="0" fontId="73" fillId="21" borderId="30" xfId="0" applyFont="1" applyFill="1" applyBorder="1" applyAlignment="1">
      <alignment horizontal="center" vertical="center"/>
    </xf>
    <xf numFmtId="0" fontId="73" fillId="21" borderId="31" xfId="0" applyFont="1" applyFill="1" applyBorder="1" applyAlignment="1">
      <alignment horizontal="center" vertical="center"/>
    </xf>
    <xf numFmtId="0" fontId="73" fillId="21" borderId="32" xfId="0" applyFont="1" applyFill="1" applyBorder="1" applyAlignment="1">
      <alignment horizontal="center" vertical="center"/>
    </xf>
    <xf numFmtId="0" fontId="73" fillId="21" borderId="0" xfId="0" applyFont="1" applyFill="1" applyBorder="1" applyAlignment="1">
      <alignment horizontal="center" vertical="center"/>
    </xf>
    <xf numFmtId="0" fontId="73" fillId="21" borderId="33" xfId="0" applyFont="1" applyFill="1" applyBorder="1" applyAlignment="1">
      <alignment horizontal="center" vertical="center"/>
    </xf>
    <xf numFmtId="0" fontId="19" fillId="15" borderId="25" xfId="0" applyFont="1" applyFill="1" applyBorder="1" applyAlignment="1">
      <alignment horizontal="center" vertical="center"/>
    </xf>
    <xf numFmtId="0" fontId="19" fillId="0" borderId="0" xfId="0" applyFont="1" applyAlignment="1">
      <alignment horizontal="center" vertical="center"/>
    </xf>
    <xf numFmtId="171" fontId="19" fillId="0" borderId="25" xfId="0" applyNumberFormat="1" applyFont="1" applyBorder="1" applyAlignment="1">
      <alignment horizontal="center" vertical="center"/>
    </xf>
    <xf numFmtId="0" fontId="23" fillId="15" borderId="25" xfId="0" applyFont="1" applyFill="1" applyBorder="1" applyAlignment="1">
      <alignment horizontal="center" vertical="center"/>
    </xf>
    <xf numFmtId="171" fontId="19" fillId="0" borderId="25" xfId="0" applyNumberFormat="1" applyFont="1" applyFill="1" applyBorder="1" applyAlignment="1">
      <alignment horizontal="center" vertical="center"/>
    </xf>
    <xf numFmtId="171" fontId="29" fillId="0" borderId="25" xfId="0" applyNumberFormat="1" applyFont="1" applyBorder="1" applyAlignment="1">
      <alignment horizontal="center" vertical="center"/>
    </xf>
    <xf numFmtId="0" fontId="0" fillId="0" borderId="10" xfId="0" applyBorder="1" applyAlignment="1" applyProtection="1">
      <alignment horizontal="center"/>
    </xf>
    <xf numFmtId="2" fontId="0" fillId="0" borderId="10" xfId="0" applyNumberFormat="1" applyBorder="1" applyAlignment="1" applyProtection="1">
      <alignment horizontal="center"/>
    </xf>
    <xf numFmtId="1" fontId="0" fillId="0" borderId="10" xfId="0" applyNumberFormat="1" applyBorder="1" applyAlignment="1" applyProtection="1">
      <alignment horizontal="center"/>
    </xf>
    <xf numFmtId="0" fontId="42" fillId="0" borderId="0" xfId="0" applyFont="1" applyAlignment="1" applyProtection="1">
      <alignment horizontal="center"/>
      <protection locked="0"/>
    </xf>
    <xf numFmtId="0" fontId="32" fillId="0" borderId="10" xfId="0" applyFont="1" applyBorder="1" applyAlignment="1" applyProtection="1">
      <alignment horizontal="center" wrapText="1"/>
    </xf>
    <xf numFmtId="0" fontId="32" fillId="0" borderId="10" xfId="0" applyFont="1" applyBorder="1" applyAlignment="1" applyProtection="1">
      <alignment horizontal="center"/>
    </xf>
    <xf numFmtId="179" fontId="40" fillId="20" borderId="10" xfId="0" applyNumberFormat="1" applyFont="1" applyFill="1" applyBorder="1" applyAlignment="1" applyProtection="1">
      <alignment horizontal="center"/>
    </xf>
    <xf numFmtId="1" fontId="0" fillId="20" borderId="10" xfId="0" applyNumberFormat="1" applyFill="1" applyBorder="1" applyAlignment="1" applyProtection="1">
      <alignment horizontal="center"/>
    </xf>
    <xf numFmtId="0" fontId="0" fillId="20" borderId="10" xfId="0" applyFill="1" applyBorder="1" applyAlignment="1" applyProtection="1">
      <alignment horizontal="center"/>
    </xf>
    <xf numFmtId="0" fontId="32" fillId="18" borderId="27" xfId="0" applyFont="1" applyFill="1" applyBorder="1" applyAlignment="1" applyProtection="1">
      <alignment horizontal="center"/>
    </xf>
    <xf numFmtId="0" fontId="32" fillId="18" borderId="0" xfId="0" applyFont="1" applyFill="1" applyBorder="1" applyAlignment="1" applyProtection="1">
      <alignment horizont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179" fontId="0" fillId="0" borderId="10" xfId="0" applyNumberFormat="1" applyFont="1" applyFill="1" applyBorder="1" applyAlignment="1" applyProtection="1">
      <alignment horizontal="distributed" vertical="center"/>
    </xf>
    <xf numFmtId="179" fontId="0" fillId="0" borderId="10" xfId="0" applyNumberFormat="1" applyFill="1" applyBorder="1" applyAlignment="1" applyProtection="1">
      <alignment horizontal="center" vertical="center"/>
    </xf>
    <xf numFmtId="0" fontId="32" fillId="20" borderId="10" xfId="0" applyFont="1" applyFill="1" applyBorder="1" applyAlignment="1" applyProtection="1">
      <alignment horizontal="right"/>
    </xf>
    <xf numFmtId="179" fontId="32" fillId="20" borderId="10" xfId="0" applyNumberFormat="1" applyFont="1" applyFill="1" applyBorder="1" applyAlignment="1" applyProtection="1">
      <alignment horizontal="center" vertical="center"/>
    </xf>
    <xf numFmtId="0" fontId="40" fillId="20" borderId="10" xfId="0" applyFont="1" applyFill="1" applyBorder="1" applyAlignment="1" applyProtection="1">
      <alignment horizontal="right" vertical="center"/>
    </xf>
    <xf numFmtId="179" fontId="40" fillId="20" borderId="10" xfId="0" applyNumberFormat="1" applyFont="1" applyFill="1" applyBorder="1" applyAlignment="1" applyProtection="1">
      <alignment horizontal="center" vertical="center"/>
    </xf>
    <xf numFmtId="0" fontId="39" fillId="20" borderId="10" xfId="0" applyFont="1" applyFill="1" applyBorder="1" applyAlignment="1" applyProtection="1">
      <alignment horizontal="right"/>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179" fontId="5" fillId="0" borderId="10" xfId="0" applyNumberFormat="1" applyFont="1" applyFill="1" applyBorder="1" applyAlignment="1" applyProtection="1">
      <alignment horizontal="distributed" vertical="center"/>
    </xf>
    <xf numFmtId="0" fontId="5" fillId="0" borderId="1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0" xfId="0" applyFont="1" applyFill="1" applyBorder="1" applyAlignment="1" applyProtection="1">
      <alignment horizontal="distributed" vertical="center"/>
    </xf>
    <xf numFmtId="0" fontId="5" fillId="0" borderId="10" xfId="0" applyFont="1" applyBorder="1" applyAlignment="1" applyProtection="1">
      <alignment horizontal="center" vertical="center" wrapText="1"/>
    </xf>
    <xf numFmtId="0" fontId="0" fillId="0" borderId="10" xfId="0" applyBorder="1" applyAlignment="1" applyProtection="1">
      <alignment horizontal="center" vertical="center" wrapText="1"/>
    </xf>
    <xf numFmtId="179" fontId="0" fillId="0" borderId="10" xfId="0" applyNumberFormat="1" applyFill="1" applyBorder="1" applyAlignment="1" applyProtection="1">
      <alignment horizontal="distributed" vertical="center"/>
    </xf>
    <xf numFmtId="0" fontId="0" fillId="0" borderId="10" xfId="0" applyFill="1" applyBorder="1" applyAlignment="1" applyProtection="1">
      <alignment horizontal="distributed" vertical="center"/>
    </xf>
    <xf numFmtId="181" fontId="36" fillId="0" borderId="10" xfId="1" applyNumberFormat="1" applyFont="1" applyBorder="1" applyAlignment="1" applyProtection="1">
      <alignment vertical="center"/>
    </xf>
    <xf numFmtId="0" fontId="0" fillId="0" borderId="10" xfId="0" applyBorder="1" applyAlignment="1" applyProtection="1">
      <alignment horizontal="center" vertical="center"/>
    </xf>
    <xf numFmtId="0" fontId="37" fillId="0" borderId="7" xfId="0" applyFont="1" applyBorder="1" applyAlignment="1" applyProtection="1">
      <alignment horizontal="center" vertical="center" wrapText="1"/>
    </xf>
    <xf numFmtId="0" fontId="37" fillId="0" borderId="9" xfId="0" applyFont="1" applyBorder="1" applyAlignment="1" applyProtection="1">
      <alignment horizontal="center" vertical="center" wrapText="1"/>
    </xf>
    <xf numFmtId="0" fontId="31" fillId="0" borderId="0" xfId="0" applyFont="1" applyBorder="1" applyAlignment="1" applyProtection="1">
      <alignment horizontal="center"/>
    </xf>
    <xf numFmtId="0" fontId="32" fillId="18" borderId="10" xfId="0" applyFont="1" applyFill="1" applyBorder="1" applyAlignment="1" applyProtection="1">
      <alignment horizontal="center"/>
    </xf>
    <xf numFmtId="0" fontId="0" fillId="0" borderId="27" xfId="0" applyBorder="1" applyAlignment="1" applyProtection="1">
      <alignment horizontal="center" vertical="center"/>
    </xf>
    <xf numFmtId="0" fontId="0" fillId="0" borderId="0"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28" xfId="0"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33" fillId="0" borderId="1" xfId="0" applyFont="1" applyFill="1" applyBorder="1" applyAlignment="1" applyProtection="1">
      <alignment horizontal="center"/>
    </xf>
    <xf numFmtId="0" fontId="33" fillId="0" borderId="3" xfId="0" applyFont="1" applyFill="1" applyBorder="1" applyAlignment="1" applyProtection="1">
      <alignment horizontal="center"/>
    </xf>
    <xf numFmtId="1" fontId="0" fillId="0" borderId="4" xfId="0" applyNumberFormat="1" applyFill="1" applyBorder="1" applyAlignment="1" applyProtection="1">
      <alignment horizontal="center"/>
    </xf>
    <xf numFmtId="1" fontId="0" fillId="0" borderId="6" xfId="0" applyNumberFormat="1" applyFill="1" applyBorder="1" applyAlignment="1" applyProtection="1">
      <alignment horizontal="center"/>
    </xf>
    <xf numFmtId="0" fontId="32" fillId="20" borderId="10" xfId="0" applyFont="1" applyFill="1" applyBorder="1" applyAlignment="1" applyProtection="1">
      <alignment horizontal="right" vertical="center" wrapText="1"/>
    </xf>
    <xf numFmtId="49" fontId="0" fillId="0" borderId="4" xfId="0" applyNumberFormat="1" applyBorder="1" applyAlignment="1" applyProtection="1">
      <alignment horizontal="center"/>
    </xf>
    <xf numFmtId="49" fontId="0" fillId="0" borderId="6" xfId="0" applyNumberFormat="1" applyBorder="1" applyAlignment="1" applyProtection="1">
      <alignment horizontal="center"/>
    </xf>
    <xf numFmtId="49" fontId="0" fillId="0" borderId="5" xfId="0" applyNumberFormat="1" applyBorder="1" applyAlignment="1" applyProtection="1">
      <alignment horizontal="center"/>
    </xf>
    <xf numFmtId="0" fontId="32" fillId="19" borderId="7" xfId="0" applyFont="1" applyFill="1" applyBorder="1" applyAlignment="1" applyProtection="1">
      <alignment horizontal="center"/>
    </xf>
    <xf numFmtId="0" fontId="32" fillId="19" borderId="8" xfId="0" applyFont="1" applyFill="1" applyBorder="1" applyAlignment="1" applyProtection="1">
      <alignment horizontal="center"/>
    </xf>
    <xf numFmtId="0" fontId="32" fillId="19" borderId="9" xfId="0" applyFont="1" applyFill="1" applyBorder="1" applyAlignment="1" applyProtection="1">
      <alignment horizontal="center"/>
    </xf>
    <xf numFmtId="49" fontId="0" fillId="0" borderId="27" xfId="0" applyNumberFormat="1" applyBorder="1" applyAlignment="1" applyProtection="1">
      <alignment horizontal="center"/>
    </xf>
    <xf numFmtId="49" fontId="0" fillId="0" borderId="28" xfId="0" applyNumberFormat="1" applyBorder="1" applyAlignment="1" applyProtection="1">
      <alignment horizontal="center"/>
    </xf>
    <xf numFmtId="49" fontId="0" fillId="0" borderId="1" xfId="0" applyNumberFormat="1" applyBorder="1" applyAlignment="1" applyProtection="1">
      <alignment horizontal="center"/>
    </xf>
    <xf numFmtId="49" fontId="0" fillId="0" borderId="2" xfId="0" applyNumberFormat="1" applyBorder="1" applyAlignment="1" applyProtection="1">
      <alignment horizontal="center"/>
    </xf>
    <xf numFmtId="49" fontId="0" fillId="0" borderId="3" xfId="0" applyNumberFormat="1" applyBorder="1" applyAlignment="1" applyProtection="1">
      <alignment horizontal="center"/>
    </xf>
    <xf numFmtId="49" fontId="0" fillId="0" borderId="0" xfId="0" applyNumberFormat="1" applyBorder="1" applyAlignment="1" applyProtection="1">
      <alignment horizontal="center"/>
    </xf>
    <xf numFmtId="179" fontId="0" fillId="0" borderId="10" xfId="0" applyNumberFormat="1" applyBorder="1" applyAlignment="1" applyProtection="1">
      <alignment horizontal="distributed" vertical="center"/>
    </xf>
    <xf numFmtId="3" fontId="0" fillId="0" borderId="10" xfId="0" applyNumberFormat="1" applyFill="1" applyBorder="1" applyAlignment="1" applyProtection="1">
      <alignment horizontal="center" vertical="center"/>
    </xf>
    <xf numFmtId="180" fontId="35" fillId="0" borderId="13" xfId="1" applyNumberFormat="1" applyFont="1" applyFill="1" applyBorder="1" applyAlignment="1" applyProtection="1">
      <alignment horizontal="center" vertical="center"/>
    </xf>
    <xf numFmtId="180" fontId="35" fillId="0" borderId="11" xfId="1" applyNumberFormat="1" applyFont="1" applyFill="1" applyBorder="1" applyAlignment="1" applyProtection="1">
      <alignment horizontal="center" vertical="center"/>
    </xf>
    <xf numFmtId="0" fontId="32" fillId="20" borderId="7" xfId="0" applyFont="1" applyFill="1" applyBorder="1" applyAlignment="1" applyProtection="1">
      <alignment horizontal="right" vertical="center" wrapText="1"/>
    </xf>
    <xf numFmtId="0" fontId="32" fillId="20" borderId="8" xfId="0" applyFont="1" applyFill="1" applyBorder="1" applyAlignment="1" applyProtection="1">
      <alignment horizontal="right" vertical="center" wrapText="1"/>
    </xf>
    <xf numFmtId="0" fontId="32" fillId="20" borderId="9" xfId="0" applyFont="1" applyFill="1" applyBorder="1" applyAlignment="1" applyProtection="1">
      <alignment horizontal="right" vertical="center" wrapText="1"/>
    </xf>
    <xf numFmtId="0" fontId="32" fillId="19" borderId="10" xfId="0" applyFont="1" applyFill="1" applyBorder="1" applyAlignment="1" applyProtection="1">
      <alignment horizontal="center"/>
    </xf>
    <xf numFmtId="49" fontId="0" fillId="0" borderId="27" xfId="0" applyNumberFormat="1" applyBorder="1" applyAlignment="1" applyProtection="1">
      <alignment horizontal="center" vertical="center"/>
    </xf>
    <xf numFmtId="49" fontId="0" fillId="0" borderId="28" xfId="0" applyNumberFormat="1" applyBorder="1" applyAlignment="1" applyProtection="1">
      <alignment horizontal="center" vertical="center"/>
    </xf>
    <xf numFmtId="0" fontId="0" fillId="0" borderId="13"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180" fontId="35" fillId="0" borderId="10" xfId="1" applyNumberFormat="1" applyFont="1" applyFill="1" applyBorder="1" applyAlignment="1" applyProtection="1">
      <alignment horizontal="center" vertical="center"/>
    </xf>
    <xf numFmtId="0" fontId="31" fillId="0" borderId="5" xfId="0" applyFont="1" applyBorder="1" applyAlignment="1" applyProtection="1">
      <alignment horizontal="center"/>
    </xf>
    <xf numFmtId="0" fontId="38" fillId="0" borderId="13" xfId="0" applyFont="1" applyBorder="1" applyAlignment="1" applyProtection="1">
      <alignment horizontal="center" vertical="center" wrapText="1"/>
    </xf>
    <xf numFmtId="0" fontId="38" fillId="0" borderId="12" xfId="0" applyFont="1" applyBorder="1" applyAlignment="1" applyProtection="1">
      <alignment horizontal="center" vertical="center" wrapText="1"/>
    </xf>
    <xf numFmtId="0" fontId="38" fillId="0" borderId="11" xfId="0" applyFont="1" applyBorder="1" applyAlignment="1" applyProtection="1">
      <alignment horizontal="center" vertical="center" wrapText="1"/>
    </xf>
    <xf numFmtId="0" fontId="37" fillId="0" borderId="13" xfId="0" applyFont="1" applyBorder="1" applyAlignment="1" applyProtection="1">
      <alignment horizontal="center" vertical="center" wrapText="1"/>
    </xf>
    <xf numFmtId="0" fontId="37" fillId="0" borderId="12" xfId="0" applyFont="1" applyBorder="1" applyAlignment="1" applyProtection="1">
      <alignment horizontal="center" vertical="center" wrapText="1"/>
    </xf>
    <xf numFmtId="0" fontId="37" fillId="0" borderId="11" xfId="0" applyFont="1" applyBorder="1" applyAlignment="1" applyProtection="1">
      <alignment horizontal="center" vertical="center" wrapText="1"/>
    </xf>
    <xf numFmtId="0" fontId="0" fillId="0" borderId="6" xfId="0" applyFill="1" applyBorder="1" applyAlignment="1" applyProtection="1">
      <alignment horizontal="center"/>
    </xf>
    <xf numFmtId="179" fontId="36" fillId="0" borderId="10" xfId="0" applyNumberFormat="1" applyFont="1" applyFill="1" applyBorder="1" applyAlignment="1" applyProtection="1">
      <alignment horizontal="distributed" vertical="center"/>
    </xf>
    <xf numFmtId="0" fontId="0" fillId="0" borderId="7" xfId="0" applyBorder="1" applyAlignment="1" applyProtection="1">
      <alignment horizontal="center" vertical="center"/>
    </xf>
    <xf numFmtId="179" fontId="34" fillId="0" borderId="9" xfId="0" applyNumberFormat="1" applyFont="1" applyFill="1" applyBorder="1" applyAlignment="1" applyProtection="1">
      <alignment horizontal="distributed" vertical="center"/>
      <protection locked="0"/>
    </xf>
    <xf numFmtId="179" fontId="34" fillId="0" borderId="10" xfId="0" applyNumberFormat="1" applyFont="1" applyFill="1" applyBorder="1" applyAlignment="1" applyProtection="1">
      <alignment horizontal="distributed" vertical="center"/>
      <protection locked="0"/>
    </xf>
    <xf numFmtId="0" fontId="31" fillId="0" borderId="0" xfId="0" applyFont="1" applyAlignment="1" applyProtection="1">
      <alignment horizontal="center"/>
    </xf>
    <xf numFmtId="0" fontId="25" fillId="5" borderId="13" xfId="0" applyFont="1" applyFill="1" applyBorder="1" applyAlignment="1">
      <alignment horizontal="center"/>
    </xf>
    <xf numFmtId="0" fontId="19" fillId="0" borderId="34" xfId="0" applyFont="1" applyBorder="1" applyAlignment="1">
      <alignment horizontal="center"/>
    </xf>
    <xf numFmtId="0" fontId="19" fillId="0" borderId="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0" fontId="20" fillId="0" borderId="17" xfId="0" applyFont="1" applyBorder="1" applyAlignment="1">
      <alignment horizontal="left"/>
    </xf>
    <xf numFmtId="0" fontId="20" fillId="0" borderId="8" xfId="0" applyFont="1" applyBorder="1" applyAlignment="1">
      <alignment horizontal="left"/>
    </xf>
    <xf numFmtId="0" fontId="20" fillId="0" borderId="9" xfId="0" applyFont="1" applyBorder="1" applyAlignment="1">
      <alignment horizontal="left"/>
    </xf>
    <xf numFmtId="0" fontId="19" fillId="0" borderId="20" xfId="0" applyFont="1" applyBorder="1" applyAlignment="1">
      <alignment horizontal="left"/>
    </xf>
    <xf numFmtId="0" fontId="19" fillId="0" borderId="21" xfId="0" applyFont="1" applyBorder="1" applyAlignment="1">
      <alignment horizontal="left"/>
    </xf>
    <xf numFmtId="0" fontId="19" fillId="0" borderId="22" xfId="0" applyFont="1" applyBorder="1" applyAlignment="1">
      <alignment horizontal="left"/>
    </xf>
    <xf numFmtId="0" fontId="20" fillId="7" borderId="10" xfId="0" applyFont="1" applyFill="1" applyBorder="1" applyAlignment="1" applyProtection="1">
      <alignment vertical="center"/>
    </xf>
    <xf numFmtId="0" fontId="20" fillId="12" borderId="10" xfId="0" applyFont="1" applyFill="1" applyBorder="1" applyAlignment="1" applyProtection="1">
      <alignment horizontal="left" vertical="center"/>
    </xf>
    <xf numFmtId="0" fontId="26" fillId="13" borderId="10" xfId="0" applyFont="1" applyFill="1" applyBorder="1" applyAlignment="1" applyProtection="1">
      <alignment horizontal="left" vertical="center" wrapText="1"/>
    </xf>
    <xf numFmtId="0" fontId="19" fillId="0" borderId="7" xfId="0" applyFont="1" applyBorder="1" applyAlignment="1">
      <alignment horizontal="center"/>
    </xf>
    <xf numFmtId="0" fontId="25" fillId="5" borderId="56" xfId="0" applyFont="1" applyFill="1" applyBorder="1" applyAlignment="1">
      <alignment horizontal="center"/>
    </xf>
    <xf numFmtId="0" fontId="25" fillId="5" borderId="57" xfId="0" applyFont="1" applyFill="1" applyBorder="1" applyAlignment="1">
      <alignment horizontal="center"/>
    </xf>
    <xf numFmtId="0" fontId="25" fillId="5" borderId="58" xfId="0" applyFont="1" applyFill="1" applyBorder="1" applyAlignment="1">
      <alignment horizontal="center"/>
    </xf>
    <xf numFmtId="0" fontId="20" fillId="12" borderId="10" xfId="0" applyFont="1" applyFill="1" applyBorder="1" applyAlignment="1" applyProtection="1">
      <alignment horizontal="center" vertical="center"/>
    </xf>
    <xf numFmtId="0" fontId="25" fillId="4" borderId="10" xfId="0" applyFont="1" applyFill="1" applyBorder="1" applyAlignment="1" applyProtection="1">
      <alignment horizontal="center" vertical="center"/>
    </xf>
    <xf numFmtId="10" fontId="20" fillId="9" borderId="10" xfId="0" applyNumberFormat="1" applyFont="1" applyFill="1" applyBorder="1" applyAlignment="1" applyProtection="1">
      <alignment horizontal="center" vertical="center"/>
    </xf>
    <xf numFmtId="44" fontId="20" fillId="0" borderId="7" xfId="2" applyFont="1" applyBorder="1" applyAlignment="1">
      <alignment horizontal="center" vertical="center"/>
    </xf>
    <xf numFmtId="44" fontId="20" fillId="0" borderId="8" xfId="2" applyFont="1" applyBorder="1" applyAlignment="1">
      <alignment horizontal="center" vertical="center"/>
    </xf>
    <xf numFmtId="44" fontId="20" fillId="0" borderId="13" xfId="0" applyNumberFormat="1"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7" borderId="10" xfId="0" applyFont="1" applyFill="1" applyBorder="1" applyAlignment="1" applyProtection="1">
      <alignment horizontal="left" vertical="center"/>
    </xf>
    <xf numFmtId="9" fontId="20" fillId="3" borderId="39" xfId="3" applyFont="1" applyFill="1" applyBorder="1" applyAlignment="1" applyProtection="1">
      <alignment horizontal="center" vertical="center"/>
    </xf>
    <xf numFmtId="9" fontId="20" fillId="3" borderId="38" xfId="3"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19" fillId="12" borderId="10" xfId="0" applyFont="1" applyFill="1" applyBorder="1" applyAlignment="1" applyProtection="1">
      <alignment horizontal="center" vertical="center"/>
    </xf>
    <xf numFmtId="0" fontId="19" fillId="12" borderId="39" xfId="0" applyFont="1" applyFill="1" applyBorder="1" applyAlignment="1" applyProtection="1">
      <alignment horizontal="center" vertical="center"/>
    </xf>
    <xf numFmtId="0" fontId="19" fillId="7" borderId="7" xfId="0" applyFont="1" applyFill="1" applyBorder="1" applyAlignment="1" applyProtection="1">
      <alignment horizontal="center" vertical="center"/>
    </xf>
    <xf numFmtId="0" fontId="19" fillId="7" borderId="8" xfId="0" applyFont="1" applyFill="1" applyBorder="1" applyAlignment="1" applyProtection="1">
      <alignment horizontal="center" vertical="center"/>
    </xf>
    <xf numFmtId="0" fontId="19" fillId="7" borderId="9" xfId="0" applyFont="1" applyFill="1" applyBorder="1" applyAlignment="1" applyProtection="1">
      <alignment horizontal="center" vertical="center"/>
    </xf>
    <xf numFmtId="44" fontId="19" fillId="0" borderId="7" xfId="2" applyFont="1" applyBorder="1" applyAlignment="1" applyProtection="1">
      <alignment horizontal="center" vertical="center"/>
    </xf>
    <xf numFmtId="44" fontId="19" fillId="0" borderId="9" xfId="2" applyFont="1" applyBorder="1" applyAlignment="1" applyProtection="1">
      <alignment horizontal="center" vertical="center"/>
    </xf>
    <xf numFmtId="0" fontId="20" fillId="7" borderId="7" xfId="0" applyFont="1" applyFill="1" applyBorder="1" applyAlignment="1" applyProtection="1">
      <alignment horizontal="left" vertical="center"/>
    </xf>
    <xf numFmtId="0" fontId="20" fillId="7" borderId="8" xfId="0" applyFont="1" applyFill="1" applyBorder="1" applyAlignment="1" applyProtection="1">
      <alignment horizontal="left" vertical="center"/>
    </xf>
    <xf numFmtId="0" fontId="20" fillId="7" borderId="9" xfId="0" applyFont="1" applyFill="1" applyBorder="1" applyAlignment="1" applyProtection="1">
      <alignment horizontal="left" vertical="center"/>
    </xf>
    <xf numFmtId="166" fontId="20" fillId="7" borderId="7" xfId="0" applyNumberFormat="1" applyFont="1" applyFill="1" applyBorder="1" applyAlignment="1" applyProtection="1">
      <alignment horizontal="center" vertical="center" wrapText="1"/>
    </xf>
    <xf numFmtId="166" fontId="20" fillId="7" borderId="9" xfId="0" applyNumberFormat="1" applyFont="1" applyFill="1" applyBorder="1" applyAlignment="1" applyProtection="1">
      <alignment horizontal="center" vertical="center" wrapText="1"/>
    </xf>
    <xf numFmtId="0" fontId="20" fillId="0" borderId="10" xfId="0" applyFont="1" applyBorder="1" applyAlignment="1" applyProtection="1">
      <alignment horizontal="left" vertical="center"/>
    </xf>
    <xf numFmtId="0" fontId="19" fillId="0" borderId="9" xfId="0" applyFont="1" applyFill="1" applyBorder="1" applyAlignment="1" applyProtection="1">
      <alignment horizontal="center" vertical="center"/>
    </xf>
    <xf numFmtId="168" fontId="20" fillId="9" borderId="0" xfId="0" applyNumberFormat="1" applyFont="1" applyFill="1" applyBorder="1" applyAlignment="1" applyProtection="1">
      <alignment horizontal="center" vertical="center"/>
    </xf>
    <xf numFmtId="0" fontId="20" fillId="9" borderId="0" xfId="0" applyFont="1" applyFill="1" applyBorder="1" applyAlignment="1" applyProtection="1">
      <alignment horizontal="center" vertical="center"/>
    </xf>
    <xf numFmtId="0" fontId="20" fillId="3" borderId="39" xfId="0" applyFont="1" applyFill="1" applyBorder="1" applyAlignment="1" applyProtection="1">
      <alignment horizontal="left" vertical="center"/>
    </xf>
    <xf numFmtId="0" fontId="20" fillId="3" borderId="37" xfId="0" applyFont="1" applyFill="1" applyBorder="1" applyAlignment="1" applyProtection="1">
      <alignment horizontal="left" vertical="center"/>
    </xf>
    <xf numFmtId="0" fontId="20" fillId="2" borderId="10" xfId="0" applyFont="1" applyFill="1" applyBorder="1" applyAlignment="1" applyProtection="1">
      <alignment horizontal="left" vertical="center"/>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7"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20" fillId="7" borderId="10" xfId="0" applyFont="1" applyFill="1" applyBorder="1" applyAlignment="1" applyProtection="1">
      <alignment horizontal="center" vertical="center"/>
    </xf>
    <xf numFmtId="0" fontId="20" fillId="7" borderId="10" xfId="0" quotePrefix="1" applyFont="1" applyFill="1" applyBorder="1" applyAlignment="1" applyProtection="1">
      <alignment horizontal="center" vertical="center"/>
    </xf>
    <xf numFmtId="0" fontId="20" fillId="7" borderId="7" xfId="0" applyFont="1" applyFill="1" applyBorder="1" applyAlignment="1" applyProtection="1">
      <alignment horizontal="left" vertical="center" wrapText="1"/>
    </xf>
    <xf numFmtId="0" fontId="20" fillId="7" borderId="8" xfId="0" applyFont="1" applyFill="1" applyBorder="1" applyAlignment="1" applyProtection="1">
      <alignment horizontal="left" vertical="center" wrapText="1"/>
    </xf>
    <xf numFmtId="0" fontId="20" fillId="7" borderId="9"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xf>
    <xf numFmtId="0" fontId="20" fillId="2" borderId="37" xfId="0" applyFont="1" applyFill="1" applyBorder="1" applyAlignment="1" applyProtection="1">
      <alignment horizontal="left" vertical="center"/>
    </xf>
    <xf numFmtId="0" fontId="20" fillId="2" borderId="38" xfId="0" applyFont="1" applyFill="1" applyBorder="1" applyAlignment="1" applyProtection="1">
      <alignment horizontal="left" vertical="center"/>
    </xf>
    <xf numFmtId="0" fontId="19" fillId="0" borderId="3" xfId="0" applyFont="1" applyFill="1" applyBorder="1" applyAlignment="1" applyProtection="1">
      <alignment horizontal="center" vertical="center"/>
    </xf>
    <xf numFmtId="0" fontId="20" fillId="7" borderId="6" xfId="0" applyFont="1" applyFill="1" applyBorder="1" applyAlignment="1" applyProtection="1">
      <alignment horizontal="left" vertical="center" wrapText="1"/>
    </xf>
    <xf numFmtId="10" fontId="20" fillId="2" borderId="7" xfId="0" applyNumberFormat="1" applyFont="1" applyFill="1" applyBorder="1" applyAlignment="1" applyProtection="1">
      <alignment horizontal="center" vertical="center"/>
      <protection locked="0"/>
    </xf>
    <xf numFmtId="10" fontId="20" fillId="2" borderId="9" xfId="0" applyNumberFormat="1" applyFont="1" applyFill="1" applyBorder="1" applyAlignment="1" applyProtection="1">
      <alignment horizontal="center" vertical="center"/>
      <protection locked="0"/>
    </xf>
    <xf numFmtId="0" fontId="20" fillId="0" borderId="39" xfId="0" applyFont="1" applyFill="1" applyBorder="1" applyAlignment="1" applyProtection="1">
      <alignment horizontal="center" vertical="center"/>
    </xf>
    <xf numFmtId="0" fontId="20" fillId="0" borderId="37" xfId="0" applyFont="1" applyFill="1" applyBorder="1" applyAlignment="1" applyProtection="1">
      <alignment horizontal="center" vertical="center"/>
    </xf>
    <xf numFmtId="44" fontId="19" fillId="12" borderId="36" xfId="2" applyFont="1" applyFill="1" applyBorder="1" applyAlignment="1" applyProtection="1">
      <alignment horizontal="center" vertical="center"/>
    </xf>
    <xf numFmtId="44" fontId="19" fillId="12" borderId="37" xfId="2" applyFont="1" applyFill="1" applyBorder="1" applyAlignment="1" applyProtection="1">
      <alignment horizontal="center" vertical="center"/>
    </xf>
    <xf numFmtId="0" fontId="20" fillId="22" borderId="10" xfId="0" applyFont="1" applyFill="1" applyBorder="1" applyAlignment="1" applyProtection="1">
      <alignment vertical="center"/>
    </xf>
    <xf numFmtId="0" fontId="20" fillId="3" borderId="38" xfId="0" applyFont="1" applyFill="1" applyBorder="1" applyAlignment="1" applyProtection="1">
      <alignment horizontal="left" vertical="center"/>
    </xf>
    <xf numFmtId="0" fontId="19" fillId="9" borderId="10" xfId="0" applyFont="1" applyFill="1" applyBorder="1" applyAlignment="1" applyProtection="1">
      <alignment horizontal="center" vertical="center"/>
    </xf>
    <xf numFmtId="0" fontId="19" fillId="11" borderId="10"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44" fontId="20" fillId="12" borderId="1" xfId="2" applyFont="1" applyFill="1" applyBorder="1" applyAlignment="1">
      <alignment horizontal="center" vertical="center" wrapText="1"/>
    </xf>
    <xf numFmtId="44" fontId="20" fillId="12" borderId="26" xfId="2" applyFont="1" applyFill="1" applyBorder="1" applyAlignment="1">
      <alignment horizontal="center" vertical="center" wrapText="1"/>
    </xf>
    <xf numFmtId="44" fontId="20" fillId="12" borderId="3" xfId="2" applyFont="1" applyFill="1" applyBorder="1" applyAlignment="1">
      <alignment horizontal="center" vertical="center" wrapText="1"/>
    </xf>
    <xf numFmtId="44" fontId="20" fillId="12" borderId="4" xfId="2" applyFont="1" applyFill="1" applyBorder="1" applyAlignment="1">
      <alignment horizontal="center" vertical="center" wrapText="1"/>
    </xf>
    <xf numFmtId="44" fontId="20" fillId="12" borderId="5" xfId="2" applyFont="1" applyFill="1" applyBorder="1" applyAlignment="1">
      <alignment horizontal="center" vertical="center" wrapText="1"/>
    </xf>
    <xf numFmtId="44" fontId="20" fillId="12" borderId="6" xfId="2" applyFont="1" applyFill="1" applyBorder="1" applyAlignment="1">
      <alignment horizontal="center" vertical="center" wrapText="1"/>
    </xf>
    <xf numFmtId="0" fontId="19" fillId="0" borderId="39" xfId="0" applyFont="1" applyFill="1" applyBorder="1" applyAlignment="1" applyProtection="1">
      <alignment horizontal="center" vertical="center"/>
    </xf>
    <xf numFmtId="0" fontId="25" fillId="5" borderId="10" xfId="0" applyFont="1" applyFill="1" applyBorder="1" applyAlignment="1">
      <alignment horizontal="center"/>
    </xf>
    <xf numFmtId="0" fontId="19" fillId="0" borderId="14" xfId="0" applyFont="1" applyBorder="1" applyAlignment="1">
      <alignment horizontal="center"/>
    </xf>
    <xf numFmtId="0" fontId="19" fillId="0" borderId="15" xfId="0" applyFont="1" applyBorder="1" applyAlignment="1">
      <alignment horizontal="center"/>
    </xf>
    <xf numFmtId="0" fontId="20" fillId="3" borderId="39" xfId="0" applyFont="1" applyFill="1" applyBorder="1" applyAlignment="1" applyProtection="1">
      <alignment horizontal="center" vertical="center"/>
    </xf>
    <xf numFmtId="0" fontId="20" fillId="3" borderId="37" xfId="0" applyFont="1" applyFill="1" applyBorder="1" applyAlignment="1" applyProtection="1">
      <alignment horizontal="center" vertical="center"/>
    </xf>
    <xf numFmtId="0" fontId="19" fillId="25" borderId="41" xfId="9" applyFont="1" applyFill="1" applyBorder="1" applyAlignment="1">
      <alignment horizontal="right" vertical="center"/>
    </xf>
    <xf numFmtId="0" fontId="29" fillId="25" borderId="42" xfId="9" applyFont="1" applyFill="1" applyBorder="1" applyAlignment="1">
      <alignment horizontal="right" vertical="center"/>
    </xf>
    <xf numFmtId="0" fontId="29" fillId="25" borderId="43" xfId="9" applyFont="1" applyFill="1" applyBorder="1" applyAlignment="1">
      <alignment horizontal="right" vertical="center"/>
    </xf>
    <xf numFmtId="0" fontId="29" fillId="25" borderId="44" xfId="9" applyFont="1" applyFill="1" applyBorder="1" applyAlignment="1">
      <alignment horizontal="right" vertical="center"/>
    </xf>
    <xf numFmtId="0" fontId="19" fillId="25" borderId="42" xfId="9" applyFont="1" applyFill="1" applyBorder="1" applyAlignment="1">
      <alignment horizontal="right" vertical="center"/>
    </xf>
    <xf numFmtId="0" fontId="19" fillId="25" borderId="43" xfId="9" applyFont="1" applyFill="1" applyBorder="1" applyAlignment="1">
      <alignment horizontal="right" vertical="center"/>
    </xf>
    <xf numFmtId="0" fontId="19" fillId="25" borderId="44" xfId="9" applyFont="1" applyFill="1" applyBorder="1" applyAlignment="1">
      <alignment horizontal="right" vertical="center"/>
    </xf>
    <xf numFmtId="4" fontId="19" fillId="0" borderId="42" xfId="9" applyNumberFormat="1" applyFont="1" applyFill="1" applyBorder="1" applyAlignment="1">
      <alignment horizontal="center" vertical="center"/>
    </xf>
    <xf numFmtId="4" fontId="19" fillId="0" borderId="43" xfId="9" applyNumberFormat="1" applyFont="1" applyFill="1" applyBorder="1" applyAlignment="1">
      <alignment horizontal="center" vertical="center"/>
    </xf>
    <xf numFmtId="4" fontId="19" fillId="0" borderId="44" xfId="9" applyNumberFormat="1" applyFont="1" applyFill="1" applyBorder="1" applyAlignment="1">
      <alignment horizontal="center" vertical="center"/>
    </xf>
    <xf numFmtId="184" fontId="28" fillId="0" borderId="42" xfId="10" applyFont="1" applyFill="1" applyBorder="1" applyAlignment="1" applyProtection="1">
      <alignment horizontal="center" vertical="center"/>
    </xf>
    <xf numFmtId="184" fontId="28" fillId="0" borderId="43" xfId="10" applyFont="1" applyFill="1" applyBorder="1" applyAlignment="1" applyProtection="1">
      <alignment horizontal="center" vertical="center"/>
    </xf>
    <xf numFmtId="0" fontId="56" fillId="25" borderId="42" xfId="9" applyFont="1" applyFill="1" applyBorder="1" applyAlignment="1">
      <alignment horizontal="center" vertical="center" wrapText="1"/>
    </xf>
    <xf numFmtId="0" fontId="56" fillId="25" borderId="43" xfId="9" applyFont="1" applyFill="1" applyBorder="1" applyAlignment="1">
      <alignment horizontal="center" vertical="center" wrapText="1"/>
    </xf>
    <xf numFmtId="0" fontId="56" fillId="25" borderId="44" xfId="9" applyFont="1" applyFill="1" applyBorder="1" applyAlignment="1">
      <alignment horizontal="center" vertical="center" wrapText="1"/>
    </xf>
    <xf numFmtId="0" fontId="19" fillId="0" borderId="45" xfId="9" applyFont="1" applyFill="1" applyBorder="1" applyAlignment="1">
      <alignment horizontal="left" vertical="center"/>
    </xf>
    <xf numFmtId="0" fontId="19" fillId="0" borderId="0" xfId="9" applyFont="1" applyFill="1" applyBorder="1" applyAlignment="1">
      <alignment horizontal="left" vertical="center"/>
    </xf>
    <xf numFmtId="0" fontId="56" fillId="25" borderId="42" xfId="9" applyFont="1" applyFill="1" applyBorder="1" applyAlignment="1">
      <alignment horizontal="center" vertical="center"/>
    </xf>
    <xf numFmtId="0" fontId="56" fillId="25" borderId="44" xfId="9" applyFont="1" applyFill="1" applyBorder="1" applyAlignment="1">
      <alignment horizontal="center" vertical="center"/>
    </xf>
    <xf numFmtId="4" fontId="19" fillId="25" borderId="42" xfId="9" applyNumberFormat="1" applyFont="1" applyFill="1" applyBorder="1" applyAlignment="1">
      <alignment horizontal="right" vertical="center"/>
    </xf>
    <xf numFmtId="4" fontId="19" fillId="25" borderId="44" xfId="9" applyNumberFormat="1" applyFont="1" applyFill="1" applyBorder="1" applyAlignment="1">
      <alignment horizontal="right" vertical="center"/>
    </xf>
    <xf numFmtId="184" fontId="19" fillId="25" borderId="42" xfId="10" applyFont="1" applyFill="1" applyBorder="1" applyAlignment="1" applyProtection="1">
      <alignment horizontal="center" vertical="center"/>
    </xf>
    <xf numFmtId="184" fontId="19" fillId="25" borderId="43" xfId="10" applyFont="1" applyFill="1" applyBorder="1" applyAlignment="1" applyProtection="1">
      <alignment horizontal="center" vertical="center"/>
    </xf>
    <xf numFmtId="0" fontId="59" fillId="44" borderId="49" xfId="0" applyFont="1" applyFill="1" applyBorder="1" applyAlignment="1">
      <alignment horizontal="center" vertical="top" wrapText="1"/>
    </xf>
    <xf numFmtId="0" fontId="59" fillId="44" borderId="50" xfId="0" applyFont="1" applyFill="1" applyBorder="1" applyAlignment="1">
      <alignment horizontal="center" vertical="top" wrapText="1"/>
    </xf>
    <xf numFmtId="0" fontId="59" fillId="44" borderId="51" xfId="0" applyFont="1" applyFill="1" applyBorder="1" applyAlignment="1">
      <alignment horizontal="center" vertical="top" wrapText="1"/>
    </xf>
    <xf numFmtId="0" fontId="61" fillId="0" borderId="49" xfId="0" applyFont="1" applyBorder="1" applyAlignment="1">
      <alignment horizontal="right" vertical="center" wrapText="1"/>
    </xf>
    <xf numFmtId="0" fontId="61" fillId="0" borderId="50" xfId="0" applyFont="1" applyBorder="1" applyAlignment="1">
      <alignment horizontal="right" vertical="center" wrapText="1"/>
    </xf>
    <xf numFmtId="0" fontId="59" fillId="44" borderId="49" xfId="0" applyFont="1" applyFill="1" applyBorder="1" applyAlignment="1">
      <alignment horizontal="center" vertical="center" wrapText="1"/>
    </xf>
    <xf numFmtId="0" fontId="59" fillId="44" borderId="50" xfId="0" applyFont="1" applyFill="1" applyBorder="1" applyAlignment="1">
      <alignment horizontal="center" vertical="center" wrapText="1"/>
    </xf>
    <xf numFmtId="0" fontId="59" fillId="44" borderId="51" xfId="0" applyFont="1" applyFill="1" applyBorder="1" applyAlignment="1">
      <alignment horizontal="center" vertical="center" wrapText="1"/>
    </xf>
    <xf numFmtId="0" fontId="61" fillId="0" borderId="51" xfId="0" applyFont="1" applyBorder="1" applyAlignment="1">
      <alignment horizontal="right"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31" xfId="0" applyFont="1" applyBorder="1" applyAlignment="1">
      <alignment horizontal="center" vertical="center" wrapText="1"/>
    </xf>
    <xf numFmtId="0" fontId="61" fillId="0" borderId="52" xfId="0" applyFont="1" applyBorder="1" applyAlignment="1">
      <alignment horizontal="center" vertical="center" wrapText="1"/>
    </xf>
    <xf numFmtId="0" fontId="61" fillId="0" borderId="53" xfId="0" applyFont="1" applyBorder="1" applyAlignment="1">
      <alignment horizontal="center" vertical="center" wrapText="1"/>
    </xf>
    <xf numFmtId="0" fontId="61" fillId="0" borderId="54" xfId="0" applyFont="1" applyBorder="1" applyAlignment="1">
      <alignment horizontal="center" vertical="center" wrapText="1"/>
    </xf>
    <xf numFmtId="0" fontId="62" fillId="14" borderId="13" xfId="0" applyFont="1" applyFill="1" applyBorder="1" applyAlignment="1">
      <alignment horizontal="center" vertical="top" textRotation="90" wrapText="1"/>
    </xf>
    <xf numFmtId="0" fontId="62" fillId="14" borderId="12" xfId="0" applyFont="1" applyFill="1" applyBorder="1" applyAlignment="1">
      <alignment horizontal="center" vertical="top" textRotation="90" wrapText="1"/>
    </xf>
    <xf numFmtId="0" fontId="62" fillId="14" borderId="11" xfId="0" applyFont="1" applyFill="1" applyBorder="1" applyAlignment="1">
      <alignment horizontal="center" vertical="top" textRotation="90" wrapText="1"/>
    </xf>
    <xf numFmtId="0" fontId="67" fillId="0" borderId="5" xfId="0" applyFont="1" applyBorder="1" applyAlignment="1">
      <alignment horizontal="center"/>
    </xf>
    <xf numFmtId="0" fontId="67" fillId="0" borderId="6" xfId="0" applyFont="1" applyBorder="1" applyAlignment="1">
      <alignment horizontal="center"/>
    </xf>
    <xf numFmtId="0" fontId="66" fillId="14" borderId="39" xfId="0" applyFont="1" applyFill="1" applyBorder="1" applyAlignment="1">
      <alignment horizontal="right" vertical="center" wrapText="1"/>
    </xf>
    <xf numFmtId="0" fontId="66" fillId="14" borderId="37" xfId="0" applyFont="1" applyFill="1" applyBorder="1" applyAlignment="1">
      <alignment horizontal="right" vertical="center" wrapText="1"/>
    </xf>
    <xf numFmtId="0" fontId="66" fillId="14" borderId="38" xfId="0" applyFont="1" applyFill="1" applyBorder="1" applyAlignment="1">
      <alignment horizontal="right" vertical="center" wrapText="1"/>
    </xf>
    <xf numFmtId="0" fontId="66" fillId="14" borderId="1" xfId="0" applyFont="1" applyFill="1" applyBorder="1" applyAlignment="1">
      <alignment horizontal="right" vertical="center" wrapText="1"/>
    </xf>
    <xf numFmtId="0" fontId="66" fillId="14" borderId="26" xfId="0" applyFont="1" applyFill="1" applyBorder="1" applyAlignment="1">
      <alignment horizontal="right" vertical="center" wrapText="1"/>
    </xf>
    <xf numFmtId="0" fontId="66" fillId="14" borderId="3" xfId="0" applyFont="1" applyFill="1" applyBorder="1" applyAlignment="1">
      <alignment horizontal="right" vertical="center" wrapText="1"/>
    </xf>
    <xf numFmtId="0" fontId="63" fillId="14" borderId="39" xfId="0" applyFont="1" applyFill="1" applyBorder="1" applyAlignment="1">
      <alignment horizontal="left" vertical="center" wrapText="1"/>
    </xf>
    <xf numFmtId="0" fontId="63" fillId="14" borderId="38" xfId="0" applyFont="1" applyFill="1" applyBorder="1" applyAlignment="1">
      <alignment horizontal="left" vertical="center" wrapText="1"/>
    </xf>
    <xf numFmtId="0" fontId="60" fillId="14" borderId="39" xfId="0" applyFont="1" applyFill="1" applyBorder="1" applyAlignment="1">
      <alignment horizontal="left" vertical="center" wrapText="1"/>
    </xf>
    <xf numFmtId="0" fontId="60" fillId="14" borderId="38" xfId="0" applyFont="1" applyFill="1" applyBorder="1" applyAlignment="1">
      <alignment horizontal="left" vertical="center" wrapText="1"/>
    </xf>
    <xf numFmtId="0" fontId="59" fillId="14" borderId="39" xfId="0" applyFont="1" applyFill="1" applyBorder="1" applyAlignment="1">
      <alignment horizontal="center" vertical="center" wrapText="1"/>
    </xf>
    <xf numFmtId="0" fontId="59" fillId="14" borderId="38" xfId="0" applyFont="1" applyFill="1" applyBorder="1" applyAlignment="1">
      <alignment horizontal="center" vertical="center" wrapText="1"/>
    </xf>
    <xf numFmtId="0" fontId="61" fillId="0" borderId="49" xfId="0" applyFont="1" applyBorder="1" applyAlignment="1">
      <alignment horizontal="center" vertical="center" wrapText="1"/>
    </xf>
    <xf numFmtId="0" fontId="61" fillId="0" borderId="50" xfId="0" applyFont="1" applyBorder="1" applyAlignment="1">
      <alignment horizontal="center" vertical="center" wrapText="1"/>
    </xf>
    <xf numFmtId="0" fontId="61" fillId="0" borderId="51" xfId="0" applyFont="1" applyBorder="1" applyAlignment="1">
      <alignment horizontal="center" vertical="center" wrapText="1"/>
    </xf>
  </cellXfs>
  <cellStyles count="12">
    <cellStyle name="Hiperlink" xfId="8" builtinId="8"/>
    <cellStyle name="Moeda" xfId="2" builtinId="4"/>
    <cellStyle name="Normal" xfId="0" builtinId="0"/>
    <cellStyle name="Normal 2" xfId="6" xr:uid="{00000000-0005-0000-0000-000003000000}"/>
    <cellStyle name="Normal 2 2" xfId="7" xr:uid="{00000000-0005-0000-0000-000004000000}"/>
    <cellStyle name="Normal 2 3" xfId="5" xr:uid="{00000000-0005-0000-0000-000005000000}"/>
    <cellStyle name="Normal 3" xfId="9" xr:uid="{00000000-0005-0000-0000-000006000000}"/>
    <cellStyle name="Normal_Planilha teste - motorista e ajudante 2009" xfId="4" xr:uid="{00000000-0005-0000-0000-000007000000}"/>
    <cellStyle name="Porcentagem" xfId="3" builtinId="5"/>
    <cellStyle name="Título 5" xfId="11" xr:uid="{00000000-0005-0000-0000-000009000000}"/>
    <cellStyle name="Vírgula" xfId="1" builtinId="3"/>
    <cellStyle name="Vírgula 2" xfId="10" xr:uid="{00000000-0005-0000-0000-00000B000000}"/>
  </cellStyles>
  <dxfs count="4">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39994506668294322"/>
        </patternFill>
      </fill>
    </dxf>
  </dxfs>
  <tableStyles count="0" defaultTableStyle="TableStyleMedium2" defaultPivotStyle="PivotStyleLight16"/>
  <colors>
    <mruColors>
      <color rgb="FFE1E1FF"/>
      <color rgb="FFCCCCFF"/>
      <color rgb="FFFFFFCC"/>
      <color rgb="FFFFCCCC"/>
      <color rgb="FFCCECFF"/>
      <color rgb="FFFFFF66"/>
      <color rgb="FF66CCFF"/>
      <color rgb="FFFFCCFF"/>
      <color rgb="FF996633"/>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241\Licita&#231;&#227;o\LICITA&#199;&#213;ES%20-%20PLANILHAS\LICITACAO\LICITA&#199;&#213;ES%202018\ABRIL\FAS-01-2018%20-%20CT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241\Users\Leila%20Hessmann\Desktop\PROPOSTAS%202014\LICITACAO\modelo%20m&#1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uxiliar"/>
      <sheetName val="&quot;03&quot; Laborat."/>
      <sheetName val="&quot;04&quot; Almoxarifados"/>
      <sheetName val="&quot;05&quot; Oficinas"/>
      <sheetName val="&quot;06&quot; Esp.Livres"/>
      <sheetName val="&quot;08&quot; P. Adj e Cont."/>
      <sheetName val="&quot;09&quot; Varrição"/>
      <sheetName val="&quot;10&quot; Pat. e Áreas Verdes"/>
      <sheetName val="&quot;14&quot; Fachada Envidraçada"/>
      <sheetName val="SERVENTE-RISCO-12X36-DIA"/>
      <sheetName val="SERVENTE-12X36-DIA"/>
      <sheetName val="SERVENTE-40HRS-RISCO"/>
      <sheetName val="SERVENTE-40HRS"/>
      <sheetName val="ENCARR.40 HRS-RISCO"/>
      <sheetName val="ENCARR.40 HRS"/>
      <sheetName val="ENCARR-RISCO-12X36-DIA"/>
      <sheetName val="ENCARR-12X36-DIA"/>
      <sheetName val="RESUMO"/>
      <sheetName val="RESUMO M²"/>
      <sheetName val="M²"/>
      <sheetName val="RESUMO8 HRS"/>
      <sheetName val="RESUM-12 HRS"/>
      <sheetName val="MAT E EQU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C6">
            <v>3494.93</v>
          </cell>
        </row>
        <row r="7">
          <cell r="C7">
            <v>3551.21</v>
          </cell>
        </row>
        <row r="8">
          <cell r="C8">
            <v>7816.46</v>
          </cell>
        </row>
        <row r="9">
          <cell r="C9">
            <v>7954.16</v>
          </cell>
        </row>
        <row r="10">
          <cell r="C10">
            <v>4232.68</v>
          </cell>
        </row>
        <row r="11">
          <cell r="C11">
            <v>4921.16</v>
          </cell>
        </row>
        <row r="12">
          <cell r="C12">
            <v>9704.58</v>
          </cell>
        </row>
      </sheetData>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ente"/>
      <sheetName val="Proposta"/>
      <sheetName val="Produtividade"/>
      <sheetName val="Complemento Produtividade"/>
      <sheetName val="Material Uniforme Equipamentos"/>
      <sheetName val="SIMPLES 2012"/>
      <sheetName val="Versão_1C"/>
      <sheetName val="Plan1"/>
    </sheetNames>
    <sheetDataSet>
      <sheetData sheetId="0" refreshError="1">
        <row r="13">
          <cell r="F13">
            <v>12</v>
          </cell>
        </row>
        <row r="16">
          <cell r="E16">
            <v>0</v>
          </cell>
        </row>
        <row r="17">
          <cell r="E17">
            <v>1750</v>
          </cell>
        </row>
        <row r="18">
          <cell r="E18">
            <v>0</v>
          </cell>
        </row>
        <row r="19">
          <cell r="E19">
            <v>0</v>
          </cell>
        </row>
        <row r="20">
          <cell r="E20">
            <v>0</v>
          </cell>
        </row>
        <row r="21">
          <cell r="E21">
            <v>0</v>
          </cell>
        </row>
        <row r="23">
          <cell r="E23">
            <v>0</v>
          </cell>
        </row>
        <row r="24">
          <cell r="E24">
            <v>0</v>
          </cell>
        </row>
        <row r="25">
          <cell r="E25">
            <v>0</v>
          </cell>
        </row>
        <row r="26">
          <cell r="E26">
            <v>0</v>
          </cell>
        </row>
        <row r="27">
          <cell r="E27">
            <v>0</v>
          </cell>
        </row>
        <row r="28">
          <cell r="E28">
            <v>920</v>
          </cell>
        </row>
        <row r="30">
          <cell r="E30">
            <v>220</v>
          </cell>
        </row>
        <row r="31">
          <cell r="E31">
            <v>140</v>
          </cell>
        </row>
        <row r="32">
          <cell r="E32">
            <v>360</v>
          </cell>
        </row>
        <row r="34">
          <cell r="E34">
            <v>0</v>
          </cell>
        </row>
        <row r="36">
          <cell r="E36">
            <v>0</v>
          </cell>
        </row>
        <row r="194">
          <cell r="F194" t="e">
            <v>#VALUE!</v>
          </cell>
        </row>
      </sheetData>
      <sheetData sheetId="1" refreshError="1"/>
      <sheetData sheetId="2" refreshError="1">
        <row r="3">
          <cell r="E3">
            <v>600</v>
          </cell>
        </row>
        <row r="4">
          <cell r="E4">
            <v>600</v>
          </cell>
        </row>
        <row r="5">
          <cell r="E5">
            <v>330</v>
          </cell>
        </row>
        <row r="6">
          <cell r="E6">
            <v>1350</v>
          </cell>
        </row>
        <row r="7">
          <cell r="E7">
            <v>1200</v>
          </cell>
        </row>
        <row r="8">
          <cell r="E8">
            <v>800</v>
          </cell>
        </row>
        <row r="9">
          <cell r="E9">
            <v>1200</v>
          </cell>
        </row>
        <row r="10">
          <cell r="E10">
            <v>6000</v>
          </cell>
        </row>
        <row r="11">
          <cell r="E11">
            <v>1200</v>
          </cell>
        </row>
        <row r="12">
          <cell r="E12">
            <v>1200</v>
          </cell>
        </row>
        <row r="13">
          <cell r="E13">
            <v>1200</v>
          </cell>
        </row>
        <row r="14">
          <cell r="E14">
            <v>100000</v>
          </cell>
        </row>
        <row r="15">
          <cell r="E15">
            <v>110</v>
          </cell>
        </row>
        <row r="16">
          <cell r="E16">
            <v>220</v>
          </cell>
        </row>
        <row r="17">
          <cell r="E17">
            <v>220</v>
          </cell>
        </row>
        <row r="18">
          <cell r="E18">
            <v>110</v>
          </cell>
        </row>
        <row r="19">
          <cell r="E19">
            <v>330</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98"/>
  <sheetViews>
    <sheetView topLeftCell="B1" zoomScale="89" zoomScaleNormal="89" workbookViewId="0">
      <selection activeCell="K36" sqref="K36"/>
    </sheetView>
  </sheetViews>
  <sheetFormatPr defaultRowHeight="12.75"/>
  <cols>
    <col min="1" max="1" width="0" style="77" hidden="1" customWidth="1"/>
    <col min="2" max="2" width="22" style="77" bestFit="1" customWidth="1"/>
    <col min="3" max="3" width="2.85546875" style="77" customWidth="1"/>
    <col min="4" max="4" width="10.85546875" style="77" bestFit="1" customWidth="1"/>
    <col min="5" max="5" width="9.140625" style="77" bestFit="1" customWidth="1"/>
    <col min="6" max="6" width="10.85546875" style="77" bestFit="1" customWidth="1"/>
    <col min="7" max="7" width="12.140625" style="77" bestFit="1" customWidth="1"/>
    <col min="8" max="8" width="12.7109375" style="77" bestFit="1" customWidth="1"/>
    <col min="9" max="9" width="9.140625" style="77" bestFit="1" customWidth="1"/>
    <col min="10" max="10" width="10.85546875" style="77" bestFit="1" customWidth="1"/>
    <col min="11" max="11" width="11.28515625" style="77" bestFit="1" customWidth="1"/>
    <col min="12" max="12" width="6" style="77" bestFit="1" customWidth="1"/>
    <col min="13" max="13" width="8.85546875" style="77" bestFit="1" customWidth="1"/>
    <col min="14" max="15" width="10.85546875" style="77" bestFit="1" customWidth="1"/>
    <col min="16" max="16" width="9" style="77" bestFit="1" customWidth="1"/>
    <col min="17" max="17" width="8.7109375" style="77" bestFit="1" customWidth="1"/>
    <col min="18" max="18" width="6.85546875" style="77" bestFit="1" customWidth="1"/>
    <col min="19" max="19" width="8.28515625" style="77" bestFit="1" customWidth="1"/>
    <col min="20" max="20" width="6.85546875" style="77" bestFit="1" customWidth="1"/>
    <col min="21" max="21" width="8.42578125" style="77" bestFit="1" customWidth="1"/>
    <col min="22" max="22" width="6.85546875" style="77" bestFit="1" customWidth="1"/>
    <col min="23" max="23" width="8.5703125" style="77" bestFit="1" customWidth="1"/>
    <col min="24" max="24" width="8.42578125" style="77" bestFit="1" customWidth="1"/>
    <col min="25" max="25" width="7.42578125" style="77" bestFit="1" customWidth="1"/>
    <col min="26" max="26" width="7.7109375" style="77" bestFit="1" customWidth="1"/>
    <col min="27" max="27" width="7" style="77" bestFit="1" customWidth="1"/>
    <col min="28" max="28" width="6.28515625" style="77" bestFit="1" customWidth="1"/>
    <col min="29" max="30" width="7.5703125" style="77" bestFit="1" customWidth="1"/>
    <col min="31" max="31" width="8.85546875" style="77" bestFit="1" customWidth="1"/>
    <col min="32" max="32" width="8.42578125" style="77" bestFit="1" customWidth="1"/>
    <col min="33" max="33" width="7.28515625" style="77" bestFit="1" customWidth="1"/>
    <col min="34" max="34" width="7.7109375" style="77" bestFit="1" customWidth="1"/>
    <col min="35" max="35" width="6.85546875" style="77" bestFit="1" customWidth="1"/>
    <col min="36" max="16384" width="9.140625" style="77"/>
  </cols>
  <sheetData>
    <row r="2" spans="1:35" ht="38.25">
      <c r="A2" s="78" t="s">
        <v>58</v>
      </c>
      <c r="B2" s="78" t="s">
        <v>58</v>
      </c>
      <c r="D2" s="72" t="str">
        <f>B3</f>
        <v>Aparecida</v>
      </c>
      <c r="E2" s="72" t="str">
        <f>B4</f>
        <v>Araçatuba</v>
      </c>
      <c r="F2" s="72" t="str">
        <f>B5</f>
        <v>Arujá</v>
      </c>
      <c r="G2" s="72" t="str">
        <f>B6</f>
        <v>Atibaia</v>
      </c>
      <c r="H2" s="72" t="str">
        <f>B7</f>
        <v>Barra_do_Turvo</v>
      </c>
      <c r="I2" s="72" t="str">
        <f>B8</f>
        <v>Bauru</v>
      </c>
      <c r="J2" s="72" t="str">
        <f>B9</f>
        <v>Caçapava</v>
      </c>
      <c r="K2" s="72" t="str">
        <f>B10</f>
        <v>Cachoeira_Paulista</v>
      </c>
      <c r="L2" s="72" t="str">
        <f>B11</f>
        <v>Cajati</v>
      </c>
      <c r="M2" s="72" t="str">
        <f>B12</f>
        <v>Campinas</v>
      </c>
      <c r="N2" s="72" t="str">
        <f>B13</f>
        <v>Guaiçara</v>
      </c>
      <c r="O2" s="72" t="str">
        <f>B14</f>
        <v>Guarulhos</v>
      </c>
      <c r="P2" s="72" t="str">
        <f>B15</f>
        <v>Itapecerica_da_Serra</v>
      </c>
      <c r="Q2" s="72" t="str">
        <f>B16</f>
        <v>Lavrinhas</v>
      </c>
      <c r="R2" s="72" t="str">
        <f>B17</f>
        <v>Marília</v>
      </c>
      <c r="S2" s="72" t="str">
        <f>B18</f>
        <v>Miracatu</v>
      </c>
      <c r="T2" s="72" t="str">
        <f>B19</f>
        <v>Osasco</v>
      </c>
      <c r="U2" s="72" t="str">
        <f>B20</f>
        <v>Ourinhos</v>
      </c>
      <c r="V2" s="72" t="str">
        <f>B21</f>
        <v>Piquete</v>
      </c>
      <c r="W2" s="72" t="str">
        <f>B22</f>
        <v>Piracicaba</v>
      </c>
      <c r="X2" s="72" t="str">
        <f>B23</f>
        <v>Presidente_Prudente</v>
      </c>
      <c r="Y2" s="72" t="str">
        <f>B24</f>
        <v>Registro</v>
      </c>
      <c r="Z2" s="72" t="str">
        <f>B25</f>
        <v>Ribeirão_Preto</v>
      </c>
      <c r="AA2" s="72" t="str">
        <f>B26</f>
        <v>Roseira</v>
      </c>
      <c r="AB2" s="72" t="str">
        <f>B27</f>
        <v>Santos</v>
      </c>
      <c r="AC2" s="72" t="str">
        <f>B28</f>
        <v>São_José_do_Rio_Preto</v>
      </c>
      <c r="AD2" s="72" t="str">
        <f>B29</f>
        <v>São_José_dos_Campos</v>
      </c>
      <c r="AE2" s="72" t="str">
        <f>B30</f>
        <v>São_Paulo</v>
      </c>
      <c r="AF2" s="72" t="str">
        <f>B31</f>
        <v>Sorocaba</v>
      </c>
      <c r="AG2" s="72" t="str">
        <f>B32</f>
        <v>Taubaté</v>
      </c>
      <c r="AH2" s="72" t="str">
        <f>B33</f>
        <v>Ubatuba</v>
      </c>
      <c r="AI2" s="72" t="str">
        <f>B34</f>
        <v>Vargem</v>
      </c>
    </row>
    <row r="3" spans="1:35" ht="76.5">
      <c r="A3" s="72" t="s">
        <v>59</v>
      </c>
      <c r="B3" s="72" t="s">
        <v>59</v>
      </c>
      <c r="D3" s="77" t="s">
        <v>90</v>
      </c>
      <c r="E3" s="77" t="s">
        <v>91</v>
      </c>
      <c r="F3" s="77" t="s">
        <v>97</v>
      </c>
      <c r="G3" s="77" t="s">
        <v>92</v>
      </c>
      <c r="H3" s="77" t="s">
        <v>94</v>
      </c>
      <c r="I3" s="77" t="s">
        <v>95</v>
      </c>
      <c r="J3" s="77" t="s">
        <v>96</v>
      </c>
      <c r="K3" s="76" t="s">
        <v>98</v>
      </c>
      <c r="L3" s="77" t="s">
        <v>100</v>
      </c>
      <c r="M3" s="77" t="s">
        <v>101</v>
      </c>
      <c r="N3" s="77" t="s">
        <v>103</v>
      </c>
      <c r="O3" s="77" t="s">
        <v>104</v>
      </c>
      <c r="P3" s="77" t="s">
        <v>108</v>
      </c>
      <c r="Q3" s="77" t="s">
        <v>110</v>
      </c>
      <c r="R3" s="77" t="s">
        <v>111</v>
      </c>
      <c r="S3" s="77" t="s">
        <v>113</v>
      </c>
      <c r="T3" s="77" t="s">
        <v>115</v>
      </c>
      <c r="U3" s="77" t="s">
        <v>116</v>
      </c>
      <c r="V3" s="77" t="s">
        <v>117</v>
      </c>
      <c r="W3" s="77" t="s">
        <v>118</v>
      </c>
      <c r="X3" s="77" t="s">
        <v>119</v>
      </c>
      <c r="Y3" s="77" t="s">
        <v>121</v>
      </c>
      <c r="Z3" s="77" t="s">
        <v>123</v>
      </c>
      <c r="AA3" s="77" t="s">
        <v>125</v>
      </c>
      <c r="AB3" s="77" t="s">
        <v>126</v>
      </c>
      <c r="AC3" s="77" t="s">
        <v>128</v>
      </c>
      <c r="AD3" s="77" t="s">
        <v>131</v>
      </c>
      <c r="AE3" s="77" t="s">
        <v>133</v>
      </c>
      <c r="AF3" s="77" t="s">
        <v>136</v>
      </c>
      <c r="AG3" s="77" t="s">
        <v>137</v>
      </c>
      <c r="AH3" s="77" t="s">
        <v>139</v>
      </c>
      <c r="AI3" s="77" t="s">
        <v>143</v>
      </c>
    </row>
    <row r="4" spans="1:35" ht="51">
      <c r="A4" s="72" t="s">
        <v>60</v>
      </c>
      <c r="B4" s="72" t="s">
        <v>60</v>
      </c>
      <c r="G4" s="77" t="s">
        <v>93</v>
      </c>
      <c r="K4" s="75" t="s">
        <v>99</v>
      </c>
      <c r="M4" s="77" t="s">
        <v>102</v>
      </c>
      <c r="O4" s="77" t="s">
        <v>105</v>
      </c>
      <c r="P4" s="77" t="s">
        <v>109</v>
      </c>
      <c r="R4" s="77" t="s">
        <v>112</v>
      </c>
      <c r="S4" s="77" t="s">
        <v>114</v>
      </c>
      <c r="X4" s="77" t="s">
        <v>120</v>
      </c>
      <c r="Y4" s="77" t="s">
        <v>122</v>
      </c>
      <c r="Z4" s="77" t="s">
        <v>124</v>
      </c>
      <c r="AB4" s="77" t="s">
        <v>127</v>
      </c>
      <c r="AC4" s="77" t="s">
        <v>129</v>
      </c>
      <c r="AD4" s="77" t="s">
        <v>132</v>
      </c>
      <c r="AE4" s="77" t="s">
        <v>57</v>
      </c>
      <c r="AG4" s="77" t="s">
        <v>138</v>
      </c>
      <c r="AH4" s="77" t="s">
        <v>140</v>
      </c>
    </row>
    <row r="5" spans="1:35" ht="51">
      <c r="A5" s="72" t="s">
        <v>61</v>
      </c>
      <c r="B5" s="72" t="s">
        <v>61</v>
      </c>
      <c r="O5" s="77" t="s">
        <v>106</v>
      </c>
      <c r="AC5" s="77" t="s">
        <v>130</v>
      </c>
      <c r="AE5" s="77" t="s">
        <v>134</v>
      </c>
      <c r="AH5" s="77" t="s">
        <v>141</v>
      </c>
    </row>
    <row r="6" spans="1:35" ht="38.25">
      <c r="A6" s="72" t="s">
        <v>62</v>
      </c>
      <c r="B6" s="72" t="s">
        <v>62</v>
      </c>
      <c r="O6" s="77" t="s">
        <v>107</v>
      </c>
      <c r="AE6" s="77" t="s">
        <v>135</v>
      </c>
      <c r="AH6" s="77" t="s">
        <v>142</v>
      </c>
    </row>
    <row r="7" spans="1:35" ht="25.5">
      <c r="A7" s="72" t="s">
        <v>63</v>
      </c>
      <c r="B7" s="72" t="s">
        <v>144</v>
      </c>
      <c r="AE7"/>
      <c r="AH7"/>
    </row>
    <row r="8" spans="1:35" ht="15">
      <c r="A8" s="72" t="s">
        <v>64</v>
      </c>
      <c r="B8" s="72" t="s">
        <v>64</v>
      </c>
      <c r="AE8"/>
      <c r="AH8"/>
    </row>
    <row r="9" spans="1:35" ht="15">
      <c r="A9" s="72" t="s">
        <v>65</v>
      </c>
      <c r="B9" s="72" t="s">
        <v>65</v>
      </c>
      <c r="AE9"/>
      <c r="AH9"/>
    </row>
    <row r="10" spans="1:35" ht="25.5">
      <c r="A10" s="72" t="s">
        <v>66</v>
      </c>
      <c r="B10" s="72" t="s">
        <v>145</v>
      </c>
      <c r="AE10"/>
      <c r="AH10"/>
    </row>
    <row r="11" spans="1:35" ht="15">
      <c r="A11" s="72" t="s">
        <v>67</v>
      </c>
      <c r="B11" s="72" t="s">
        <v>67</v>
      </c>
      <c r="AE11"/>
      <c r="AH11"/>
    </row>
    <row r="12" spans="1:35" ht="15">
      <c r="A12" s="72" t="s">
        <v>68</v>
      </c>
      <c r="B12" s="72" t="s">
        <v>68</v>
      </c>
      <c r="AE12"/>
      <c r="AH12"/>
    </row>
    <row r="13" spans="1:35" ht="15">
      <c r="A13" s="72" t="s">
        <v>69</v>
      </c>
      <c r="B13" s="72" t="s">
        <v>69</v>
      </c>
      <c r="AE13"/>
      <c r="AH13"/>
    </row>
    <row r="14" spans="1:35" ht="25.5">
      <c r="A14" s="72" t="s">
        <v>70</v>
      </c>
      <c r="B14" s="72" t="s">
        <v>70</v>
      </c>
      <c r="AE14"/>
      <c r="AH14"/>
    </row>
    <row r="15" spans="1:35" ht="25.5">
      <c r="A15" s="72" t="s">
        <v>71</v>
      </c>
      <c r="B15" s="72" t="s">
        <v>146</v>
      </c>
      <c r="AE15"/>
      <c r="AH15"/>
    </row>
    <row r="16" spans="1:35" ht="15">
      <c r="A16" s="72" t="s">
        <v>72</v>
      </c>
      <c r="B16" s="72" t="s">
        <v>72</v>
      </c>
      <c r="AE16"/>
      <c r="AH16"/>
    </row>
    <row r="17" spans="1:34" ht="15">
      <c r="A17" s="72" t="s">
        <v>73</v>
      </c>
      <c r="B17" s="72" t="s">
        <v>73</v>
      </c>
      <c r="AE17"/>
      <c r="AH17"/>
    </row>
    <row r="18" spans="1:34" ht="15">
      <c r="A18" s="72" t="s">
        <v>74</v>
      </c>
      <c r="B18" s="72" t="s">
        <v>74</v>
      </c>
      <c r="AE18"/>
      <c r="AH18"/>
    </row>
    <row r="19" spans="1:34" ht="15">
      <c r="A19" s="72" t="s">
        <v>75</v>
      </c>
      <c r="B19" s="72" t="s">
        <v>75</v>
      </c>
      <c r="AE19"/>
      <c r="AH19"/>
    </row>
    <row r="20" spans="1:34" ht="15">
      <c r="A20" s="72" t="s">
        <v>76</v>
      </c>
      <c r="B20" s="72" t="s">
        <v>76</v>
      </c>
      <c r="AE20"/>
      <c r="AH20"/>
    </row>
    <row r="21" spans="1:34" ht="15">
      <c r="A21" s="72" t="s">
        <v>77</v>
      </c>
      <c r="B21" s="72" t="s">
        <v>77</v>
      </c>
      <c r="AE21"/>
      <c r="AH21"/>
    </row>
    <row r="22" spans="1:34" ht="25.5">
      <c r="A22" s="72" t="s">
        <v>78</v>
      </c>
      <c r="B22" s="72" t="s">
        <v>78</v>
      </c>
      <c r="AE22"/>
      <c r="AH22"/>
    </row>
    <row r="23" spans="1:34" ht="38.25">
      <c r="A23" s="72" t="s">
        <v>79</v>
      </c>
      <c r="B23" s="72" t="s">
        <v>147</v>
      </c>
      <c r="AE23"/>
      <c r="AH23"/>
    </row>
    <row r="24" spans="1:34" ht="15">
      <c r="A24" s="72" t="s">
        <v>80</v>
      </c>
      <c r="B24" s="72" t="s">
        <v>80</v>
      </c>
      <c r="AE24"/>
      <c r="AH24"/>
    </row>
    <row r="25" spans="1:34" ht="25.5">
      <c r="A25" s="72" t="s">
        <v>81</v>
      </c>
      <c r="B25" s="72" t="s">
        <v>148</v>
      </c>
      <c r="AE25"/>
      <c r="AH25"/>
    </row>
    <row r="26" spans="1:34" ht="15">
      <c r="A26" s="72" t="s">
        <v>82</v>
      </c>
      <c r="B26" s="72" t="s">
        <v>82</v>
      </c>
      <c r="AE26"/>
      <c r="AH26"/>
    </row>
    <row r="27" spans="1:34" ht="15">
      <c r="A27" s="72" t="s">
        <v>83</v>
      </c>
      <c r="B27" s="72" t="s">
        <v>83</v>
      </c>
      <c r="AE27"/>
      <c r="AH27"/>
    </row>
    <row r="28" spans="1:34" ht="38.25">
      <c r="A28" s="72" t="s">
        <v>84</v>
      </c>
      <c r="B28" s="72" t="s">
        <v>149</v>
      </c>
      <c r="AE28"/>
      <c r="AH28"/>
    </row>
    <row r="29" spans="1:34" ht="38.25">
      <c r="A29" s="72" t="s">
        <v>85</v>
      </c>
      <c r="B29" s="72" t="s">
        <v>150</v>
      </c>
      <c r="AE29"/>
      <c r="AH29"/>
    </row>
    <row r="30" spans="1:34" ht="15">
      <c r="A30" s="72" t="s">
        <v>56</v>
      </c>
      <c r="B30" s="72" t="s">
        <v>151</v>
      </c>
      <c r="AE30"/>
      <c r="AH30"/>
    </row>
    <row r="31" spans="1:34" ht="15">
      <c r="A31" s="72" t="s">
        <v>86</v>
      </c>
      <c r="B31" s="72" t="s">
        <v>86</v>
      </c>
      <c r="AE31"/>
      <c r="AH31"/>
    </row>
    <row r="32" spans="1:34" ht="15">
      <c r="A32" s="72" t="s">
        <v>87</v>
      </c>
      <c r="B32" s="72" t="s">
        <v>87</v>
      </c>
      <c r="AE32"/>
      <c r="AH32"/>
    </row>
    <row r="33" spans="1:34" ht="15">
      <c r="A33" s="72" t="s">
        <v>88</v>
      </c>
      <c r="B33" s="72" t="s">
        <v>88</v>
      </c>
      <c r="AE33"/>
      <c r="AH33"/>
    </row>
    <row r="34" spans="1:34" ht="15">
      <c r="A34" s="72" t="s">
        <v>89</v>
      </c>
      <c r="B34" s="72" t="s">
        <v>89</v>
      </c>
      <c r="AE34"/>
      <c r="AH34"/>
    </row>
    <row r="35" spans="1:34" ht="15">
      <c r="AE35"/>
      <c r="AH35"/>
    </row>
    <row r="36" spans="1:34" ht="15">
      <c r="AE36"/>
      <c r="AH36"/>
    </row>
    <row r="37" spans="1:34" ht="15">
      <c r="AE37"/>
      <c r="AH37"/>
    </row>
    <row r="38" spans="1:34" ht="15">
      <c r="AE38"/>
      <c r="AH38"/>
    </row>
    <row r="39" spans="1:34" ht="15">
      <c r="AE39"/>
      <c r="AH39"/>
    </row>
    <row r="40" spans="1:34" ht="15">
      <c r="AE40"/>
      <c r="AH40"/>
    </row>
    <row r="41" spans="1:34" ht="15">
      <c r="AE41"/>
      <c r="AH41"/>
    </row>
    <row r="42" spans="1:34" ht="15">
      <c r="AE42"/>
      <c r="AH42"/>
    </row>
    <row r="43" spans="1:34" ht="15">
      <c r="AE43"/>
      <c r="AH43"/>
    </row>
    <row r="44" spans="1:34" ht="15">
      <c r="AE44"/>
      <c r="AH44"/>
    </row>
    <row r="45" spans="1:34" ht="15">
      <c r="AE45"/>
      <c r="AH45"/>
    </row>
    <row r="46" spans="1:34" ht="15">
      <c r="AE46"/>
      <c r="AH46"/>
    </row>
    <row r="47" spans="1:34" ht="15">
      <c r="AE47"/>
      <c r="AH47"/>
    </row>
    <row r="48" spans="1:34" ht="15">
      <c r="AE48"/>
      <c r="AH48"/>
    </row>
    <row r="49" spans="31:34" ht="15">
      <c r="AE49"/>
      <c r="AH49"/>
    </row>
    <row r="50" spans="31:34" ht="15">
      <c r="AE50"/>
      <c r="AH50"/>
    </row>
    <row r="51" spans="31:34" ht="15">
      <c r="AE51"/>
      <c r="AH51"/>
    </row>
    <row r="52" spans="31:34" ht="15">
      <c r="AE52"/>
      <c r="AH52"/>
    </row>
    <row r="53" spans="31:34" ht="15">
      <c r="AE53"/>
      <c r="AH53"/>
    </row>
    <row r="54" spans="31:34" ht="15">
      <c r="AE54"/>
      <c r="AH54"/>
    </row>
    <row r="55" spans="31:34" ht="15">
      <c r="AE55"/>
      <c r="AH55"/>
    </row>
    <row r="56" spans="31:34" ht="15">
      <c r="AE56"/>
      <c r="AH56"/>
    </row>
    <row r="57" spans="31:34" ht="15">
      <c r="AE57"/>
      <c r="AH57"/>
    </row>
    <row r="58" spans="31:34" ht="15">
      <c r="AE58"/>
      <c r="AH58"/>
    </row>
    <row r="59" spans="31:34" ht="15">
      <c r="AE59"/>
      <c r="AH59"/>
    </row>
    <row r="60" spans="31:34" ht="15">
      <c r="AE60"/>
      <c r="AH60"/>
    </row>
    <row r="61" spans="31:34" ht="15">
      <c r="AE61"/>
      <c r="AH61"/>
    </row>
    <row r="62" spans="31:34" ht="15">
      <c r="AE62"/>
      <c r="AH62"/>
    </row>
    <row r="63" spans="31:34" ht="15">
      <c r="AE63"/>
      <c r="AH63"/>
    </row>
    <row r="64" spans="31:34" ht="15">
      <c r="AE64"/>
      <c r="AH64"/>
    </row>
    <row r="65" spans="31:34" ht="15">
      <c r="AE65"/>
      <c r="AH65"/>
    </row>
    <row r="66" spans="31:34" ht="15">
      <c r="AE66"/>
      <c r="AH66"/>
    </row>
    <row r="67" spans="31:34" ht="15">
      <c r="AE67"/>
      <c r="AH67"/>
    </row>
    <row r="68" spans="31:34" ht="15">
      <c r="AE68"/>
      <c r="AH68"/>
    </row>
    <row r="69" spans="31:34" ht="15">
      <c r="AE69"/>
      <c r="AH69"/>
    </row>
    <row r="70" spans="31:34" ht="15">
      <c r="AE70"/>
      <c r="AH70"/>
    </row>
    <row r="71" spans="31:34" ht="15">
      <c r="AE71"/>
      <c r="AH71"/>
    </row>
    <row r="72" spans="31:34" ht="15">
      <c r="AE72"/>
      <c r="AH72"/>
    </row>
    <row r="73" spans="31:34" ht="15">
      <c r="AE73"/>
      <c r="AH73"/>
    </row>
    <row r="74" spans="31:34" ht="15">
      <c r="AE74"/>
      <c r="AH74"/>
    </row>
    <row r="75" spans="31:34" ht="15">
      <c r="AE75"/>
      <c r="AH75"/>
    </row>
    <row r="76" spans="31:34" ht="15">
      <c r="AE76"/>
      <c r="AH76"/>
    </row>
    <row r="77" spans="31:34" ht="15">
      <c r="AE77"/>
      <c r="AH77"/>
    </row>
    <row r="78" spans="31:34" ht="15">
      <c r="AE78"/>
      <c r="AH78"/>
    </row>
    <row r="79" spans="31:34" ht="15">
      <c r="AE79"/>
      <c r="AH79"/>
    </row>
    <row r="80" spans="31:34" ht="15">
      <c r="AE80"/>
      <c r="AH80"/>
    </row>
    <row r="81" spans="31:34" ht="15">
      <c r="AE81"/>
      <c r="AH81"/>
    </row>
    <row r="82" spans="31:34" ht="15">
      <c r="AE82"/>
      <c r="AH82"/>
    </row>
    <row r="83" spans="31:34" ht="15">
      <c r="AE83"/>
      <c r="AH83"/>
    </row>
    <row r="84" spans="31:34" ht="15">
      <c r="AE84"/>
      <c r="AH84"/>
    </row>
    <row r="85" spans="31:34" ht="15">
      <c r="AE85"/>
      <c r="AH85"/>
    </row>
    <row r="86" spans="31:34" ht="15">
      <c r="AE86"/>
      <c r="AH86"/>
    </row>
    <row r="87" spans="31:34" ht="15">
      <c r="AE87"/>
      <c r="AH87"/>
    </row>
    <row r="88" spans="31:34" ht="15">
      <c r="AE88"/>
      <c r="AH88"/>
    </row>
    <row r="89" spans="31:34" ht="15">
      <c r="AE89"/>
      <c r="AH89"/>
    </row>
    <row r="90" spans="31:34" ht="15">
      <c r="AE90"/>
      <c r="AH90"/>
    </row>
    <row r="91" spans="31:34" ht="15">
      <c r="AE91"/>
      <c r="AH91"/>
    </row>
    <row r="92" spans="31:34" ht="15">
      <c r="AE92"/>
      <c r="AH92"/>
    </row>
    <row r="93" spans="31:34" ht="15">
      <c r="AE93"/>
      <c r="AH93"/>
    </row>
    <row r="94" spans="31:34" ht="15">
      <c r="AE94"/>
      <c r="AH94"/>
    </row>
    <row r="95" spans="31:34" ht="15">
      <c r="AE95"/>
      <c r="AH95"/>
    </row>
    <row r="96" spans="31:34" ht="15">
      <c r="AE96"/>
      <c r="AH96"/>
    </row>
    <row r="97" spans="31:34" ht="15">
      <c r="AE97"/>
      <c r="AH97"/>
    </row>
    <row r="98" spans="31:34" ht="15">
      <c r="AE98"/>
      <c r="AH98"/>
    </row>
  </sheetData>
  <conditionalFormatting sqref="B3:B34">
    <cfRule type="cellIs" dxfId="3" priority="5" operator="equal">
      <formula>0</formula>
    </cfRule>
  </conditionalFormatting>
  <conditionalFormatting sqref="D2:AI2">
    <cfRule type="cellIs" dxfId="2" priority="4" operator="equal">
      <formula>0</formula>
    </cfRule>
  </conditionalFormatting>
  <conditionalFormatting sqref="K3:K4">
    <cfRule type="cellIs" dxfId="1" priority="2" operator="equal">
      <formula>0</formula>
    </cfRule>
  </conditionalFormatting>
  <conditionalFormatting sqref="A3:A34">
    <cfRule type="cellIs" dxfId="0" priority="1" operator="equal">
      <formula>0</formula>
    </cfRule>
  </conditionalFormatting>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120"/>
  <sheetViews>
    <sheetView topLeftCell="A97" workbookViewId="0">
      <selection activeCell="G85" sqref="G85"/>
    </sheetView>
  </sheetViews>
  <sheetFormatPr defaultColWidth="11.85546875" defaultRowHeight="15"/>
  <cols>
    <col min="1" max="1" width="6.28515625" style="1" customWidth="1"/>
    <col min="2" max="2" width="4.5703125" style="1" customWidth="1"/>
    <col min="3" max="3" width="9" style="1" customWidth="1"/>
    <col min="4" max="4" width="25" style="1" customWidth="1"/>
    <col min="5" max="5" width="4.7109375" style="1" bestFit="1" customWidth="1"/>
    <col min="6" max="6" width="9" style="1" bestFit="1" customWidth="1"/>
    <col min="7" max="7" width="10.42578125" style="1" customWidth="1"/>
    <col min="8" max="8" width="10.7109375" style="1" customWidth="1"/>
    <col min="9" max="9" width="16.7109375" style="32" customWidth="1"/>
    <col min="10" max="10" width="9" style="33" bestFit="1" customWidth="1"/>
    <col min="11" max="11" width="9.140625" style="1" bestFit="1" customWidth="1"/>
    <col min="12" max="12" width="12.7109375" style="18" bestFit="1" customWidth="1"/>
    <col min="13" max="13" width="13.28515625" style="1" bestFit="1" customWidth="1"/>
    <col min="14" max="16384" width="11.85546875" style="1"/>
  </cols>
  <sheetData>
    <row r="2" spans="2:13">
      <c r="B2" s="622" t="s">
        <v>2</v>
      </c>
      <c r="C2" s="622"/>
      <c r="D2" s="622"/>
      <c r="E2" s="622"/>
      <c r="F2" s="622"/>
      <c r="G2" s="622"/>
      <c r="H2" s="622"/>
      <c r="I2" s="622"/>
      <c r="J2" s="622"/>
      <c r="K2" s="622"/>
      <c r="L2" s="622"/>
    </row>
    <row r="3" spans="2:13" s="2" customFormat="1">
      <c r="B3" s="623" t="e">
        <f>#REF!</f>
        <v>#REF!</v>
      </c>
      <c r="C3" s="624"/>
      <c r="D3" s="624"/>
      <c r="E3" s="624"/>
      <c r="F3" s="624"/>
      <c r="G3" s="624"/>
      <c r="H3" s="624"/>
      <c r="I3" s="624"/>
      <c r="J3" s="624"/>
      <c r="K3" s="624"/>
      <c r="L3" s="625"/>
    </row>
    <row r="4" spans="2:13" s="2" customFormat="1">
      <c r="B4" s="626"/>
      <c r="C4" s="627"/>
      <c r="D4" s="627"/>
      <c r="E4" s="627"/>
      <c r="F4" s="627"/>
      <c r="G4" s="627"/>
      <c r="H4" s="627"/>
      <c r="I4" s="627"/>
      <c r="J4" s="627"/>
      <c r="K4" s="627"/>
      <c r="L4" s="628"/>
    </row>
    <row r="5" spans="2:13">
      <c r="B5" s="3"/>
      <c r="C5" s="4"/>
      <c r="D5" s="4"/>
      <c r="E5" s="4"/>
      <c r="F5" s="4"/>
      <c r="G5" s="4"/>
      <c r="H5" s="4"/>
      <c r="I5" s="5"/>
      <c r="J5" s="4"/>
      <c r="K5" s="6"/>
      <c r="L5" s="7" t="s">
        <v>53</v>
      </c>
    </row>
    <row r="6" spans="2:13">
      <c r="B6" s="611" t="s">
        <v>3</v>
      </c>
      <c r="C6" s="611"/>
      <c r="D6" s="611"/>
      <c r="E6" s="611"/>
      <c r="F6" s="611"/>
      <c r="G6" s="611"/>
      <c r="H6" s="611"/>
      <c r="I6" s="611"/>
      <c r="J6" s="611"/>
      <c r="K6" s="611"/>
      <c r="L6" s="611"/>
    </row>
    <row r="7" spans="2:13">
      <c r="B7" s="59" t="s">
        <v>4</v>
      </c>
      <c r="C7" s="629" t="s">
        <v>5</v>
      </c>
      <c r="D7" s="629"/>
      <c r="E7" s="629"/>
      <c r="F7" s="629"/>
      <c r="G7" s="629"/>
      <c r="H7" s="629"/>
      <c r="I7" s="629"/>
      <c r="J7" s="629"/>
      <c r="K7" s="629"/>
      <c r="L7" s="9" t="e">
        <f>#REF!</f>
        <v>#REF!</v>
      </c>
    </row>
    <row r="8" spans="2:13">
      <c r="B8" s="79" t="s">
        <v>154</v>
      </c>
      <c r="C8" s="629" t="s">
        <v>155</v>
      </c>
      <c r="D8" s="629"/>
      <c r="E8" s="629"/>
      <c r="F8" s="629"/>
      <c r="G8" s="629"/>
      <c r="H8" s="629"/>
      <c r="I8" s="629"/>
      <c r="J8" s="629"/>
      <c r="K8" s="629"/>
      <c r="L8" s="9"/>
    </row>
    <row r="9" spans="2:13">
      <c r="B9" s="59" t="s">
        <v>6</v>
      </c>
      <c r="C9" s="629" t="s">
        <v>7</v>
      </c>
      <c r="D9" s="629"/>
      <c r="E9" s="629"/>
      <c r="F9" s="617" t="s">
        <v>8</v>
      </c>
      <c r="G9" s="617"/>
      <c r="H9" s="617"/>
      <c r="I9" s="617"/>
      <c r="J9" s="10" t="s">
        <v>9</v>
      </c>
      <c r="K9" s="11">
        <v>0</v>
      </c>
      <c r="L9" s="12">
        <v>0</v>
      </c>
      <c r="M9" s="13"/>
    </row>
    <row r="10" spans="2:13">
      <c r="B10" s="90" t="s">
        <v>10</v>
      </c>
      <c r="C10" s="603" t="s">
        <v>160</v>
      </c>
      <c r="D10" s="604"/>
      <c r="E10" s="604"/>
      <c r="F10" s="604"/>
      <c r="G10" s="604"/>
      <c r="H10" s="604"/>
      <c r="I10" s="605"/>
      <c r="J10" s="10" t="s">
        <v>9</v>
      </c>
      <c r="K10" s="11">
        <v>0</v>
      </c>
      <c r="L10" s="12">
        <v>0</v>
      </c>
      <c r="M10" s="13"/>
    </row>
    <row r="11" spans="2:13">
      <c r="B11" s="90" t="s">
        <v>12</v>
      </c>
      <c r="C11" s="603" t="s">
        <v>157</v>
      </c>
      <c r="D11" s="604"/>
      <c r="E11" s="604"/>
      <c r="F11" s="604"/>
      <c r="G11" s="604"/>
      <c r="H11" s="604"/>
      <c r="I11" s="605"/>
      <c r="J11" s="10" t="s">
        <v>9</v>
      </c>
      <c r="K11" s="11">
        <v>0</v>
      </c>
      <c r="L11" s="12">
        <v>0</v>
      </c>
      <c r="M11" s="13"/>
    </row>
    <row r="12" spans="2:13">
      <c r="B12" s="90" t="s">
        <v>14</v>
      </c>
      <c r="C12" s="603" t="s">
        <v>158</v>
      </c>
      <c r="D12" s="604"/>
      <c r="E12" s="604"/>
      <c r="F12" s="604"/>
      <c r="G12" s="604"/>
      <c r="H12" s="604"/>
      <c r="I12" s="605"/>
      <c r="J12" s="10" t="s">
        <v>9</v>
      </c>
      <c r="K12" s="11">
        <v>0</v>
      </c>
      <c r="L12" s="12">
        <v>0</v>
      </c>
      <c r="M12" s="13"/>
    </row>
    <row r="13" spans="2:13">
      <c r="B13" s="90" t="s">
        <v>1</v>
      </c>
      <c r="C13" s="603" t="s">
        <v>159</v>
      </c>
      <c r="D13" s="604"/>
      <c r="E13" s="604"/>
      <c r="F13" s="604"/>
      <c r="G13" s="604"/>
      <c r="H13" s="604"/>
      <c r="I13" s="605"/>
      <c r="J13" s="10" t="s">
        <v>9</v>
      </c>
      <c r="K13" s="11">
        <v>0</v>
      </c>
      <c r="L13" s="12">
        <v>0</v>
      </c>
      <c r="M13" s="13"/>
    </row>
    <row r="14" spans="2:13">
      <c r="B14" s="90" t="s">
        <v>15</v>
      </c>
      <c r="C14" s="618" t="s">
        <v>11</v>
      </c>
      <c r="D14" s="618"/>
      <c r="E14" s="618"/>
      <c r="F14" s="618"/>
      <c r="G14" s="618"/>
      <c r="H14" s="618"/>
      <c r="I14" s="618"/>
      <c r="J14" s="10" t="s">
        <v>9</v>
      </c>
      <c r="K14" s="14">
        <v>0</v>
      </c>
      <c r="L14" s="12">
        <v>0</v>
      </c>
      <c r="M14" s="13"/>
    </row>
    <row r="15" spans="2:13">
      <c r="B15" s="90" t="s">
        <v>16</v>
      </c>
      <c r="C15" s="619" t="s">
        <v>13</v>
      </c>
      <c r="D15" s="619"/>
      <c r="E15" s="619"/>
      <c r="F15" s="619"/>
      <c r="G15" s="619"/>
      <c r="H15" s="619"/>
      <c r="I15" s="619"/>
      <c r="J15" s="619"/>
      <c r="K15" s="619"/>
      <c r="L15" s="12">
        <v>0</v>
      </c>
      <c r="M15" s="13"/>
    </row>
    <row r="16" spans="2:13">
      <c r="B16" s="90" t="s">
        <v>156</v>
      </c>
      <c r="C16" s="620" t="s">
        <v>0</v>
      </c>
      <c r="D16" s="620"/>
      <c r="E16" s="620"/>
      <c r="F16" s="620"/>
      <c r="G16" s="620"/>
      <c r="H16" s="620"/>
      <c r="I16" s="620"/>
      <c r="J16" s="620"/>
      <c r="K16" s="620"/>
      <c r="L16" s="12"/>
      <c r="M16" s="13"/>
    </row>
    <row r="17" spans="2:13">
      <c r="B17" s="621" t="s">
        <v>208</v>
      </c>
      <c r="C17" s="621"/>
      <c r="D17" s="621"/>
      <c r="E17" s="621"/>
      <c r="F17" s="621"/>
      <c r="G17" s="621"/>
      <c r="H17" s="621"/>
      <c r="I17" s="621"/>
      <c r="J17" s="621"/>
      <c r="K17" s="621"/>
      <c r="L17" s="100" t="e">
        <f>SUM(L7:L16)</f>
        <v>#REF!</v>
      </c>
      <c r="M17" s="15"/>
    </row>
    <row r="18" spans="2:13">
      <c r="B18" s="16"/>
      <c r="C18" s="16"/>
      <c r="D18" s="16"/>
      <c r="E18" s="16"/>
      <c r="F18" s="16"/>
      <c r="G18" s="16"/>
      <c r="H18" s="16"/>
      <c r="I18" s="17"/>
      <c r="J18" s="16"/>
      <c r="K18" s="16"/>
    </row>
    <row r="19" spans="2:13">
      <c r="B19" s="611" t="s">
        <v>161</v>
      </c>
      <c r="C19" s="611"/>
      <c r="D19" s="611"/>
      <c r="E19" s="611"/>
      <c r="F19" s="611"/>
      <c r="G19" s="611"/>
      <c r="H19" s="611"/>
      <c r="I19" s="611"/>
      <c r="J19" s="611"/>
      <c r="K19" s="611"/>
      <c r="L19" s="7" t="str">
        <f>L5</f>
        <v>SERVENTE</v>
      </c>
    </row>
    <row r="20" spans="2:13">
      <c r="B20" s="612" t="s">
        <v>162</v>
      </c>
      <c r="C20" s="613"/>
      <c r="D20" s="613"/>
      <c r="E20" s="613"/>
      <c r="F20" s="613"/>
      <c r="G20" s="613"/>
      <c r="H20" s="613"/>
      <c r="I20" s="613"/>
      <c r="J20" s="613"/>
      <c r="K20" s="92" t="s">
        <v>9</v>
      </c>
      <c r="L20" s="12" t="s">
        <v>166</v>
      </c>
    </row>
    <row r="21" spans="2:13">
      <c r="B21" s="90" t="s">
        <v>4</v>
      </c>
      <c r="C21" s="603" t="s">
        <v>163</v>
      </c>
      <c r="D21" s="604"/>
      <c r="E21" s="604"/>
      <c r="F21" s="604"/>
      <c r="G21" s="604"/>
      <c r="H21" s="604"/>
      <c r="I21" s="604"/>
      <c r="J21" s="605"/>
      <c r="K21" s="34">
        <v>8.3299999999999999E-2</v>
      </c>
      <c r="L21" s="12" t="e">
        <f>K21*L17</f>
        <v>#REF!</v>
      </c>
    </row>
    <row r="22" spans="2:13">
      <c r="B22" s="90" t="s">
        <v>6</v>
      </c>
      <c r="C22" s="603" t="s">
        <v>164</v>
      </c>
      <c r="D22" s="604"/>
      <c r="E22" s="604"/>
      <c r="F22" s="604"/>
      <c r="G22" s="604"/>
      <c r="H22" s="604"/>
      <c r="I22" s="604"/>
      <c r="J22" s="605"/>
      <c r="K22" s="34">
        <v>2.7799999999999998E-2</v>
      </c>
      <c r="L22" s="12" t="e">
        <f>K22*L17</f>
        <v>#REF!</v>
      </c>
    </row>
    <row r="23" spans="2:13">
      <c r="B23" s="614" t="s">
        <v>165</v>
      </c>
      <c r="C23" s="615"/>
      <c r="D23" s="615"/>
      <c r="E23" s="615"/>
      <c r="F23" s="615"/>
      <c r="G23" s="615"/>
      <c r="H23" s="615"/>
      <c r="I23" s="615"/>
      <c r="J23" s="616"/>
      <c r="K23" s="34">
        <f>SUM(K21:K22)</f>
        <v>0.1111</v>
      </c>
      <c r="L23" s="12" t="e">
        <f>SUM(L21:L22)</f>
        <v>#REF!</v>
      </c>
    </row>
    <row r="24" spans="2:13">
      <c r="B24" s="93"/>
      <c r="C24" s="94"/>
      <c r="D24" s="94"/>
      <c r="E24" s="94"/>
      <c r="F24" s="94"/>
      <c r="G24" s="94"/>
      <c r="H24" s="94"/>
      <c r="I24" s="94"/>
      <c r="J24" s="95"/>
      <c r="K24" s="34"/>
      <c r="L24" s="12"/>
    </row>
    <row r="25" spans="2:13">
      <c r="B25" s="612" t="s">
        <v>167</v>
      </c>
      <c r="C25" s="613"/>
      <c r="D25" s="613"/>
      <c r="E25" s="613"/>
      <c r="F25" s="613"/>
      <c r="G25" s="613"/>
      <c r="H25" s="613"/>
      <c r="I25" s="613"/>
      <c r="J25" s="613"/>
      <c r="K25" s="92" t="s">
        <v>9</v>
      </c>
      <c r="L25" s="12" t="s">
        <v>166</v>
      </c>
    </row>
    <row r="26" spans="2:13">
      <c r="B26" s="74" t="s">
        <v>4</v>
      </c>
      <c r="C26" s="617" t="s">
        <v>17</v>
      </c>
      <c r="D26" s="617"/>
      <c r="E26" s="617"/>
      <c r="F26" s="617"/>
      <c r="G26" s="617"/>
      <c r="H26" s="617"/>
      <c r="I26" s="617"/>
      <c r="J26" s="617"/>
      <c r="K26" s="27">
        <v>0.2</v>
      </c>
      <c r="L26" s="28" t="e">
        <f>ROUND($K$26*L17,2)</f>
        <v>#REF!</v>
      </c>
    </row>
    <row r="27" spans="2:13">
      <c r="B27" s="74" t="s">
        <v>6</v>
      </c>
      <c r="C27" s="617" t="s">
        <v>18</v>
      </c>
      <c r="D27" s="617"/>
      <c r="E27" s="617"/>
      <c r="F27" s="617"/>
      <c r="G27" s="617"/>
      <c r="H27" s="617"/>
      <c r="I27" s="617"/>
      <c r="J27" s="617"/>
      <c r="K27" s="27">
        <v>1.4999999999999999E-2</v>
      </c>
      <c r="L27" s="28" t="e">
        <f>ROUND($K$27*L17,2)</f>
        <v>#REF!</v>
      </c>
    </row>
    <row r="28" spans="2:13">
      <c r="B28" s="74" t="s">
        <v>10</v>
      </c>
      <c r="C28" s="617" t="s">
        <v>19</v>
      </c>
      <c r="D28" s="617"/>
      <c r="E28" s="617"/>
      <c r="F28" s="617"/>
      <c r="G28" s="617"/>
      <c r="H28" s="617"/>
      <c r="I28" s="617"/>
      <c r="J28" s="617"/>
      <c r="K28" s="27">
        <v>0.01</v>
      </c>
      <c r="L28" s="28" t="e">
        <f>ROUND(K28*$L$17,2)</f>
        <v>#REF!</v>
      </c>
    </row>
    <row r="29" spans="2:13">
      <c r="B29" s="74" t="s">
        <v>12</v>
      </c>
      <c r="C29" s="617" t="s">
        <v>20</v>
      </c>
      <c r="D29" s="617"/>
      <c r="E29" s="617"/>
      <c r="F29" s="617"/>
      <c r="G29" s="617"/>
      <c r="H29" s="617"/>
      <c r="I29" s="617"/>
      <c r="J29" s="617"/>
      <c r="K29" s="27">
        <v>2E-3</v>
      </c>
      <c r="L29" s="28" t="e">
        <f>ROUND(K29*$L$17,2)</f>
        <v>#REF!</v>
      </c>
    </row>
    <row r="30" spans="2:13">
      <c r="B30" s="74" t="s">
        <v>14</v>
      </c>
      <c r="C30" s="617" t="s">
        <v>21</v>
      </c>
      <c r="D30" s="617"/>
      <c r="E30" s="617"/>
      <c r="F30" s="617"/>
      <c r="G30" s="617"/>
      <c r="H30" s="617"/>
      <c r="I30" s="617"/>
      <c r="J30" s="617"/>
      <c r="K30" s="27">
        <v>2.5000000000000001E-2</v>
      </c>
      <c r="L30" s="28" t="e">
        <f>ROUND(K30*$L$17,2)</f>
        <v>#REF!</v>
      </c>
      <c r="M30" s="29"/>
    </row>
    <row r="31" spans="2:13">
      <c r="B31" s="74" t="s">
        <v>1</v>
      </c>
      <c r="C31" s="603" t="s">
        <v>153</v>
      </c>
      <c r="D31" s="605"/>
      <c r="E31" s="638">
        <v>0.08</v>
      </c>
      <c r="F31" s="639"/>
      <c r="G31" s="603" t="s">
        <v>152</v>
      </c>
      <c r="H31" s="604"/>
      <c r="I31" s="604"/>
      <c r="J31" s="605"/>
      <c r="K31" s="27">
        <f>E31*(1+(1/12)+(1/12/3))</f>
        <v>8.8888888888888878E-2</v>
      </c>
      <c r="L31" s="28" t="e">
        <f>ROUND(K31*($L$17+(1/3/12*L17)+(1/12*L17)),2)</f>
        <v>#REF!</v>
      </c>
      <c r="M31" s="1" t="s">
        <v>168</v>
      </c>
    </row>
    <row r="32" spans="2:13">
      <c r="B32" s="74" t="s">
        <v>15</v>
      </c>
      <c r="C32" s="617" t="s">
        <v>22</v>
      </c>
      <c r="D32" s="617"/>
      <c r="E32" s="617"/>
      <c r="F32" s="617"/>
      <c r="G32" s="73" t="s">
        <v>23</v>
      </c>
      <c r="H32" s="30">
        <v>0.03</v>
      </c>
      <c r="I32" s="73" t="s">
        <v>24</v>
      </c>
      <c r="J32" s="63">
        <v>1</v>
      </c>
      <c r="K32" s="31">
        <f>H32*J32</f>
        <v>0.03</v>
      </c>
      <c r="L32" s="28" t="e">
        <f>ROUND(K32*$L$17,2)</f>
        <v>#REF!</v>
      </c>
    </row>
    <row r="33" spans="2:20">
      <c r="B33" s="74" t="s">
        <v>16</v>
      </c>
      <c r="C33" s="617" t="s">
        <v>25</v>
      </c>
      <c r="D33" s="617"/>
      <c r="E33" s="617"/>
      <c r="F33" s="617"/>
      <c r="G33" s="617"/>
      <c r="H33" s="617"/>
      <c r="I33" s="617"/>
      <c r="J33" s="617"/>
      <c r="K33" s="27">
        <v>6.0000000000000001E-3</v>
      </c>
      <c r="L33" s="28" t="e">
        <f>ROUND(K33*$L$17,2)</f>
        <v>#REF!</v>
      </c>
      <c r="M33" s="2"/>
      <c r="N33" s="2"/>
      <c r="O33" s="2"/>
      <c r="P33" s="2"/>
      <c r="Q33" s="2"/>
      <c r="R33" s="2"/>
      <c r="S33" s="2"/>
      <c r="T33" s="2"/>
    </row>
    <row r="34" spans="2:20">
      <c r="B34" s="614" t="s">
        <v>169</v>
      </c>
      <c r="C34" s="615"/>
      <c r="D34" s="615"/>
      <c r="E34" s="615"/>
      <c r="F34" s="615"/>
      <c r="G34" s="615"/>
      <c r="H34" s="615"/>
      <c r="I34" s="615"/>
      <c r="J34" s="616"/>
      <c r="K34" s="34">
        <f>SUM(K26:K33)</f>
        <v>0.37688888888888894</v>
      </c>
      <c r="L34" s="12" t="e">
        <f>SUM(L26:L33)</f>
        <v>#REF!</v>
      </c>
      <c r="M34" s="2"/>
      <c r="N34" s="2"/>
      <c r="O34" s="2"/>
      <c r="P34" s="2"/>
      <c r="Q34" s="2"/>
      <c r="R34" s="2"/>
      <c r="S34" s="2"/>
      <c r="T34" s="2"/>
    </row>
    <row r="35" spans="2:20">
      <c r="B35" s="93"/>
      <c r="C35" s="94"/>
      <c r="D35" s="94"/>
      <c r="E35" s="94"/>
      <c r="F35" s="94"/>
      <c r="G35" s="94"/>
      <c r="H35" s="94"/>
      <c r="I35" s="94"/>
      <c r="J35" s="95"/>
      <c r="K35" s="34"/>
      <c r="L35" s="12"/>
      <c r="M35" s="2"/>
      <c r="N35" s="2"/>
      <c r="O35" s="2"/>
      <c r="P35" s="2"/>
      <c r="Q35" s="2"/>
      <c r="R35" s="2"/>
      <c r="S35" s="2"/>
      <c r="T35" s="2"/>
    </row>
    <row r="36" spans="2:20">
      <c r="B36" s="612" t="s">
        <v>170</v>
      </c>
      <c r="C36" s="613"/>
      <c r="D36" s="613"/>
      <c r="E36" s="613"/>
      <c r="F36" s="613"/>
      <c r="G36" s="613"/>
      <c r="H36" s="613"/>
      <c r="I36" s="613"/>
      <c r="J36" s="613"/>
      <c r="K36" s="92"/>
      <c r="L36" s="12" t="s">
        <v>166</v>
      </c>
    </row>
    <row r="37" spans="2:20">
      <c r="B37" s="59" t="s">
        <v>4</v>
      </c>
      <c r="C37" s="603" t="e">
        <f>#REF!</f>
        <v>#REF!</v>
      </c>
      <c r="D37" s="604"/>
      <c r="E37" s="604"/>
      <c r="F37" s="604"/>
      <c r="G37" s="604"/>
      <c r="H37" s="604"/>
      <c r="I37" s="604"/>
      <c r="J37" s="605"/>
      <c r="K37" s="80"/>
      <c r="L37" s="12" t="e">
        <f>#REF!</f>
        <v>#REF!</v>
      </c>
    </row>
    <row r="38" spans="2:20">
      <c r="B38" s="59" t="s">
        <v>6</v>
      </c>
      <c r="C38" s="603" t="e">
        <f>#REF!</f>
        <v>#REF!</v>
      </c>
      <c r="D38" s="604"/>
      <c r="E38" s="604"/>
      <c r="F38" s="604"/>
      <c r="G38" s="604"/>
      <c r="H38" s="604"/>
      <c r="I38" s="604"/>
      <c r="J38" s="605"/>
      <c r="K38" s="80"/>
      <c r="L38" s="12" t="e">
        <f>#REF!</f>
        <v>#REF!</v>
      </c>
    </row>
    <row r="39" spans="2:20">
      <c r="B39" s="59" t="s">
        <v>10</v>
      </c>
      <c r="C39" s="603" t="e">
        <f>#REF!</f>
        <v>#REF!</v>
      </c>
      <c r="D39" s="604"/>
      <c r="E39" s="604"/>
      <c r="F39" s="604"/>
      <c r="G39" s="604"/>
      <c r="H39" s="604"/>
      <c r="I39" s="604"/>
      <c r="J39" s="605"/>
      <c r="K39" s="80"/>
      <c r="L39" s="12" t="e">
        <f>#REF!</f>
        <v>#REF!</v>
      </c>
    </row>
    <row r="40" spans="2:20">
      <c r="B40" s="79" t="s">
        <v>12</v>
      </c>
      <c r="C40" s="603" t="e">
        <f>#REF!</f>
        <v>#REF!</v>
      </c>
      <c r="D40" s="604"/>
      <c r="E40" s="604"/>
      <c r="F40" s="604"/>
      <c r="G40" s="604"/>
      <c r="H40" s="604"/>
      <c r="I40" s="604"/>
      <c r="J40" s="605"/>
      <c r="K40" s="80"/>
      <c r="L40" s="12" t="e">
        <f>#REF!</f>
        <v>#REF!</v>
      </c>
    </row>
    <row r="41" spans="2:20">
      <c r="B41" s="79" t="s">
        <v>14</v>
      </c>
      <c r="C41" s="603" t="e">
        <f>#REF!</f>
        <v>#REF!</v>
      </c>
      <c r="D41" s="604"/>
      <c r="E41" s="604"/>
      <c r="F41" s="604"/>
      <c r="G41" s="604"/>
      <c r="H41" s="604"/>
      <c r="I41" s="604"/>
      <c r="J41" s="605"/>
      <c r="K41" s="81"/>
      <c r="L41" s="12" t="e">
        <f>#REF!</f>
        <v>#REF!</v>
      </c>
    </row>
    <row r="42" spans="2:20">
      <c r="B42" s="79" t="s">
        <v>1</v>
      </c>
      <c r="C42" s="603" t="e">
        <f>#REF!</f>
        <v>#REF!</v>
      </c>
      <c r="D42" s="604"/>
      <c r="E42" s="604"/>
      <c r="F42" s="604"/>
      <c r="G42" s="604"/>
      <c r="H42" s="604"/>
      <c r="I42" s="604"/>
      <c r="J42" s="605"/>
      <c r="K42" s="82"/>
      <c r="L42" s="12" t="e">
        <f>#REF!</f>
        <v>#REF!</v>
      </c>
    </row>
    <row r="43" spans="2:20">
      <c r="B43" s="79" t="s">
        <v>15</v>
      </c>
      <c r="C43" s="603" t="e">
        <f>#REF!</f>
        <v>#REF!</v>
      </c>
      <c r="D43" s="604"/>
      <c r="E43" s="604"/>
      <c r="F43" s="604"/>
      <c r="G43" s="604"/>
      <c r="H43" s="604"/>
      <c r="I43" s="604"/>
      <c r="J43" s="605"/>
      <c r="K43" s="82"/>
      <c r="L43" s="12" t="e">
        <f>#REF!</f>
        <v>#REF!</v>
      </c>
    </row>
    <row r="44" spans="2:20">
      <c r="B44" s="79" t="s">
        <v>16</v>
      </c>
      <c r="C44" s="620" t="s">
        <v>0</v>
      </c>
      <c r="D44" s="620"/>
      <c r="E44" s="620"/>
      <c r="F44" s="620"/>
      <c r="G44" s="620"/>
      <c r="H44" s="620"/>
      <c r="I44" s="620"/>
      <c r="J44" s="620"/>
      <c r="K44" s="620"/>
      <c r="L44" s="19">
        <v>0</v>
      </c>
    </row>
    <row r="45" spans="2:20">
      <c r="B45" s="614" t="s">
        <v>172</v>
      </c>
      <c r="C45" s="615"/>
      <c r="D45" s="615"/>
      <c r="E45" s="615"/>
      <c r="F45" s="615"/>
      <c r="G45" s="615"/>
      <c r="H45" s="615"/>
      <c r="I45" s="615"/>
      <c r="J45" s="616"/>
      <c r="K45" s="34"/>
      <c r="L45" s="12" t="e">
        <f>SUM(L37:L44)</f>
        <v>#REF!</v>
      </c>
    </row>
    <row r="46" spans="2:20">
      <c r="B46" s="93"/>
      <c r="C46" s="94"/>
      <c r="D46" s="94"/>
      <c r="E46" s="94"/>
      <c r="F46" s="94"/>
      <c r="G46" s="94"/>
      <c r="H46" s="94"/>
      <c r="I46" s="94"/>
      <c r="J46" s="95"/>
      <c r="K46" s="34"/>
      <c r="L46" s="12"/>
    </row>
    <row r="47" spans="2:20">
      <c r="B47" s="602" t="s">
        <v>173</v>
      </c>
      <c r="C47" s="602"/>
      <c r="D47" s="602"/>
      <c r="E47" s="602"/>
      <c r="F47" s="602"/>
      <c r="G47" s="602"/>
      <c r="H47" s="602"/>
      <c r="I47" s="602"/>
      <c r="J47" s="602"/>
      <c r="K47" s="602"/>
      <c r="L47" s="7" t="str">
        <f>L5</f>
        <v>SERVENTE</v>
      </c>
    </row>
    <row r="48" spans="2:20">
      <c r="B48" s="90" t="s">
        <v>174</v>
      </c>
      <c r="C48" s="603" t="s">
        <v>177</v>
      </c>
      <c r="D48" s="604"/>
      <c r="E48" s="604"/>
      <c r="F48" s="604"/>
      <c r="G48" s="604"/>
      <c r="H48" s="604"/>
      <c r="I48" s="604"/>
      <c r="J48" s="605"/>
      <c r="K48" s="80"/>
      <c r="L48" s="12" t="e">
        <f>L23</f>
        <v>#REF!</v>
      </c>
    </row>
    <row r="49" spans="2:12">
      <c r="B49" s="90" t="s">
        <v>175</v>
      </c>
      <c r="C49" s="603" t="s">
        <v>178</v>
      </c>
      <c r="D49" s="604"/>
      <c r="E49" s="604"/>
      <c r="F49" s="604"/>
      <c r="G49" s="604"/>
      <c r="H49" s="604"/>
      <c r="I49" s="604"/>
      <c r="J49" s="605"/>
      <c r="K49" s="80"/>
      <c r="L49" s="12" t="e">
        <f>L34</f>
        <v>#REF!</v>
      </c>
    </row>
    <row r="50" spans="2:12">
      <c r="B50" s="90" t="s">
        <v>176</v>
      </c>
      <c r="C50" s="603" t="s">
        <v>180</v>
      </c>
      <c r="D50" s="604"/>
      <c r="E50" s="604"/>
      <c r="F50" s="604"/>
      <c r="G50" s="604"/>
      <c r="H50" s="604"/>
      <c r="I50" s="604"/>
      <c r="J50" s="605"/>
      <c r="K50" s="80"/>
      <c r="L50" s="12" t="e">
        <f>L45</f>
        <v>#REF!</v>
      </c>
    </row>
    <row r="51" spans="2:12">
      <c r="B51" s="606" t="s">
        <v>179</v>
      </c>
      <c r="C51" s="607"/>
      <c r="D51" s="607"/>
      <c r="E51" s="607"/>
      <c r="F51" s="607"/>
      <c r="G51" s="607"/>
      <c r="H51" s="607"/>
      <c r="I51" s="607"/>
      <c r="J51" s="608"/>
      <c r="K51" s="101"/>
      <c r="L51" s="102" t="e">
        <f>SUM(L48:L50)</f>
        <v>#REF!</v>
      </c>
    </row>
    <row r="52" spans="2:12">
      <c r="B52" s="609"/>
      <c r="C52" s="610"/>
      <c r="D52" s="610"/>
      <c r="E52" s="610"/>
      <c r="F52" s="610"/>
      <c r="G52" s="610"/>
      <c r="H52" s="610"/>
      <c r="I52" s="610"/>
      <c r="J52" s="610"/>
      <c r="K52" s="610"/>
      <c r="L52" s="610"/>
    </row>
    <row r="53" spans="2:12">
      <c r="B53" s="611" t="s">
        <v>171</v>
      </c>
      <c r="C53" s="611"/>
      <c r="D53" s="611"/>
      <c r="E53" s="611"/>
      <c r="F53" s="611"/>
      <c r="G53" s="611"/>
      <c r="H53" s="611"/>
      <c r="I53" s="611"/>
      <c r="J53" s="611"/>
      <c r="K53" s="97" t="s">
        <v>9</v>
      </c>
      <c r="L53" s="98" t="s">
        <v>166</v>
      </c>
    </row>
    <row r="54" spans="2:12">
      <c r="B54" s="59" t="s">
        <v>4</v>
      </c>
      <c r="C54" s="617" t="s">
        <v>26</v>
      </c>
      <c r="D54" s="617"/>
      <c r="E54" s="617"/>
      <c r="F54" s="617"/>
      <c r="G54" s="617"/>
      <c r="H54" s="617"/>
      <c r="I54" s="38">
        <v>30</v>
      </c>
      <c r="J54" s="39">
        <v>0.05</v>
      </c>
      <c r="K54" s="34">
        <f>I54/30/12*J54</f>
        <v>4.1666666666666666E-3</v>
      </c>
      <c r="L54" s="12" t="e">
        <f t="shared" ref="L54:L59" si="0">ROUND(K54*$L$17,2)</f>
        <v>#REF!</v>
      </c>
    </row>
    <row r="55" spans="2:12">
      <c r="B55" s="59" t="s">
        <v>6</v>
      </c>
      <c r="C55" s="617" t="s">
        <v>27</v>
      </c>
      <c r="D55" s="617"/>
      <c r="E55" s="617"/>
      <c r="F55" s="617"/>
      <c r="G55" s="617"/>
      <c r="H55" s="617"/>
      <c r="I55" s="617"/>
      <c r="J55" s="617"/>
      <c r="K55" s="34">
        <f>K31*K54</f>
        <v>3.703703703703703E-4</v>
      </c>
      <c r="L55" s="12" t="e">
        <f t="shared" si="0"/>
        <v>#REF!</v>
      </c>
    </row>
    <row r="56" spans="2:12">
      <c r="B56" s="90" t="s">
        <v>10</v>
      </c>
      <c r="C56" s="617" t="s">
        <v>182</v>
      </c>
      <c r="D56" s="617"/>
      <c r="E56" s="617"/>
      <c r="F56" s="617"/>
      <c r="G56" s="617"/>
      <c r="H56" s="617"/>
      <c r="I56" s="617"/>
      <c r="J56" s="617"/>
      <c r="K56" s="34">
        <f>0.5*K55</f>
        <v>1.8518518518518515E-4</v>
      </c>
      <c r="L56" s="12" t="e">
        <f t="shared" si="0"/>
        <v>#REF!</v>
      </c>
    </row>
    <row r="57" spans="2:12">
      <c r="B57" s="90" t="s">
        <v>12</v>
      </c>
      <c r="C57" s="617" t="s">
        <v>184</v>
      </c>
      <c r="D57" s="617"/>
      <c r="E57" s="617"/>
      <c r="F57" s="617"/>
      <c r="G57" s="617"/>
      <c r="H57" s="617"/>
      <c r="I57" s="617"/>
      <c r="J57" s="617"/>
      <c r="K57" s="34">
        <v>4.0000000000000002E-4</v>
      </c>
      <c r="L57" s="12" t="e">
        <f t="shared" si="0"/>
        <v>#REF!</v>
      </c>
    </row>
    <row r="58" spans="2:12">
      <c r="B58" s="90" t="s">
        <v>14</v>
      </c>
      <c r="C58" s="617" t="s">
        <v>183</v>
      </c>
      <c r="D58" s="617"/>
      <c r="E58" s="617"/>
      <c r="F58" s="617"/>
      <c r="G58" s="617"/>
      <c r="H58" s="617"/>
      <c r="I58" s="617"/>
      <c r="J58" s="617"/>
      <c r="K58" s="34">
        <f>K34*K57</f>
        <v>1.5075555555555558E-4</v>
      </c>
      <c r="L58" s="12" t="e">
        <f t="shared" si="0"/>
        <v>#REF!</v>
      </c>
    </row>
    <row r="59" spans="2:12">
      <c r="B59" s="90" t="s">
        <v>1</v>
      </c>
      <c r="C59" s="617" t="s">
        <v>185</v>
      </c>
      <c r="D59" s="617"/>
      <c r="E59" s="617"/>
      <c r="F59" s="617"/>
      <c r="G59" s="617"/>
      <c r="H59" s="617"/>
      <c r="I59" s="617"/>
      <c r="J59" s="617"/>
      <c r="K59" s="96">
        <f>0.5*0.08*K57</f>
        <v>1.6000000000000003E-5</v>
      </c>
      <c r="L59" s="12" t="e">
        <f t="shared" si="0"/>
        <v>#REF!</v>
      </c>
    </row>
    <row r="60" spans="2:12" ht="15" customHeight="1">
      <c r="B60" s="606" t="s">
        <v>181</v>
      </c>
      <c r="C60" s="607"/>
      <c r="D60" s="607"/>
      <c r="E60" s="607"/>
      <c r="F60" s="607"/>
      <c r="G60" s="607"/>
      <c r="H60" s="607"/>
      <c r="I60" s="607"/>
      <c r="J60" s="608"/>
      <c r="K60" s="101"/>
      <c r="L60" s="102" t="e">
        <f>SUM(L54:L59)</f>
        <v>#REF!</v>
      </c>
    </row>
    <row r="61" spans="2:12">
      <c r="B61" s="20"/>
      <c r="C61" s="16"/>
      <c r="D61" s="16"/>
      <c r="E61" s="20"/>
      <c r="F61" s="20"/>
      <c r="G61" s="20"/>
      <c r="H61" s="20"/>
      <c r="I61" s="21"/>
      <c r="J61" s="22"/>
      <c r="K61" s="20"/>
    </row>
    <row r="62" spans="2:12">
      <c r="B62" s="611" t="s">
        <v>186</v>
      </c>
      <c r="C62" s="611"/>
      <c r="D62" s="611"/>
      <c r="E62" s="611"/>
      <c r="F62" s="611"/>
      <c r="G62" s="611"/>
      <c r="H62" s="611"/>
      <c r="I62" s="611"/>
      <c r="J62" s="611"/>
      <c r="K62" s="97"/>
      <c r="L62" s="98"/>
    </row>
    <row r="63" spans="2:12">
      <c r="B63" s="612" t="s">
        <v>191</v>
      </c>
      <c r="C63" s="613"/>
      <c r="D63" s="613"/>
      <c r="E63" s="613"/>
      <c r="F63" s="613"/>
      <c r="G63" s="613"/>
      <c r="H63" s="613"/>
      <c r="I63" s="613"/>
      <c r="J63" s="613"/>
      <c r="K63" s="92" t="s">
        <v>9</v>
      </c>
      <c r="L63" s="12" t="s">
        <v>166</v>
      </c>
    </row>
    <row r="64" spans="2:12">
      <c r="B64" s="59" t="s">
        <v>4</v>
      </c>
      <c r="C64" s="629" t="s">
        <v>187</v>
      </c>
      <c r="D64" s="629"/>
      <c r="E64" s="629"/>
      <c r="F64" s="629"/>
      <c r="G64" s="629"/>
      <c r="H64" s="629"/>
      <c r="I64" s="629"/>
      <c r="J64" s="629"/>
      <c r="K64" s="41">
        <f>1/12</f>
        <v>8.3333333333333329E-2</v>
      </c>
      <c r="L64" s="12" t="e">
        <f t="shared" ref="L64:L69" si="1">K64*$L$17</f>
        <v>#REF!</v>
      </c>
    </row>
    <row r="65" spans="2:13">
      <c r="B65" s="59" t="s">
        <v>6</v>
      </c>
      <c r="C65" s="617" t="s">
        <v>188</v>
      </c>
      <c r="D65" s="617"/>
      <c r="E65" s="617"/>
      <c r="F65" s="617"/>
      <c r="G65" s="640" t="s">
        <v>29</v>
      </c>
      <c r="H65" s="640"/>
      <c r="I65" s="640"/>
      <c r="J65" s="42">
        <v>3</v>
      </c>
      <c r="K65" s="41">
        <f>J65/30/12</f>
        <v>8.3333333333333332E-3</v>
      </c>
      <c r="L65" s="12" t="e">
        <f t="shared" si="1"/>
        <v>#REF!</v>
      </c>
      <c r="M65" s="1" t="s">
        <v>168</v>
      </c>
    </row>
    <row r="66" spans="2:13">
      <c r="B66" s="59" t="s">
        <v>10</v>
      </c>
      <c r="C66" s="617" t="s">
        <v>30</v>
      </c>
      <c r="D66" s="617"/>
      <c r="E66" s="617"/>
      <c r="F66" s="617"/>
      <c r="G66" s="640" t="s">
        <v>28</v>
      </c>
      <c r="H66" s="640"/>
      <c r="I66" s="36">
        <v>1.4999999999999999E-2</v>
      </c>
      <c r="J66" s="43">
        <v>5</v>
      </c>
      <c r="K66" s="41">
        <f>J66/30/12*I66</f>
        <v>2.0833333333333332E-4</v>
      </c>
      <c r="L66" s="12" t="e">
        <f t="shared" si="1"/>
        <v>#REF!</v>
      </c>
    </row>
    <row r="67" spans="2:13">
      <c r="B67" s="59" t="s">
        <v>12</v>
      </c>
      <c r="C67" s="640" t="s">
        <v>189</v>
      </c>
      <c r="D67" s="640"/>
      <c r="E67" s="640"/>
      <c r="F67" s="42"/>
      <c r="G67" s="640" t="s">
        <v>28</v>
      </c>
      <c r="H67" s="640"/>
      <c r="I67" s="36">
        <v>7.7999999999999996E-3</v>
      </c>
      <c r="J67" s="44">
        <v>15</v>
      </c>
      <c r="K67" s="41">
        <f>J67/30/12*I67</f>
        <v>3.2499999999999999E-4</v>
      </c>
      <c r="L67" s="12" t="e">
        <f t="shared" si="1"/>
        <v>#REF!</v>
      </c>
    </row>
    <row r="68" spans="2:13">
      <c r="B68" s="59" t="s">
        <v>14</v>
      </c>
      <c r="C68" s="640" t="s">
        <v>190</v>
      </c>
      <c r="D68" s="640"/>
      <c r="E68" s="640"/>
      <c r="F68" s="42"/>
      <c r="G68" s="641"/>
      <c r="H68" s="640"/>
      <c r="I68" s="36"/>
      <c r="J68" s="44"/>
      <c r="K68" s="41">
        <v>6.1000000000000004E-3</v>
      </c>
      <c r="L68" s="12" t="e">
        <f t="shared" si="1"/>
        <v>#REF!</v>
      </c>
      <c r="M68" s="64" t="s">
        <v>168</v>
      </c>
    </row>
    <row r="69" spans="2:13">
      <c r="B69" s="59" t="s">
        <v>1</v>
      </c>
      <c r="C69" s="620" t="s">
        <v>0</v>
      </c>
      <c r="D69" s="620"/>
      <c r="E69" s="620" t="s">
        <v>31</v>
      </c>
      <c r="F69" s="620"/>
      <c r="G69" s="620"/>
      <c r="H69" s="620"/>
      <c r="I69" s="620"/>
      <c r="J69" s="620"/>
      <c r="K69" s="45"/>
      <c r="L69" s="12" t="e">
        <f t="shared" si="1"/>
        <v>#REF!</v>
      </c>
      <c r="M69" s="64"/>
    </row>
    <row r="70" spans="2:13">
      <c r="B70" s="614" t="s">
        <v>192</v>
      </c>
      <c r="C70" s="615"/>
      <c r="D70" s="615"/>
      <c r="E70" s="615"/>
      <c r="F70" s="615"/>
      <c r="G70" s="615"/>
      <c r="H70" s="615"/>
      <c r="I70" s="615"/>
      <c r="J70" s="616"/>
      <c r="K70" s="46"/>
      <c r="L70" s="12" t="e">
        <f>SUM(L64:L69)</f>
        <v>#REF!</v>
      </c>
    </row>
    <row r="71" spans="2:13">
      <c r="B71" s="93"/>
      <c r="C71" s="94"/>
      <c r="D71" s="94"/>
      <c r="E71" s="94"/>
      <c r="F71" s="94"/>
      <c r="G71" s="94"/>
      <c r="H71" s="94"/>
      <c r="I71" s="94"/>
      <c r="J71" s="95"/>
      <c r="K71" s="34"/>
      <c r="L71" s="12"/>
    </row>
    <row r="72" spans="2:13">
      <c r="B72" s="612" t="s">
        <v>193</v>
      </c>
      <c r="C72" s="613"/>
      <c r="D72" s="613"/>
      <c r="E72" s="613"/>
      <c r="F72" s="613"/>
      <c r="G72" s="613"/>
      <c r="H72" s="613"/>
      <c r="I72" s="613"/>
      <c r="J72" s="613"/>
      <c r="K72" s="92" t="s">
        <v>9</v>
      </c>
      <c r="L72" s="12" t="s">
        <v>166</v>
      </c>
    </row>
    <row r="73" spans="2:13">
      <c r="B73" s="90" t="s">
        <v>4</v>
      </c>
      <c r="C73" s="629" t="s">
        <v>194</v>
      </c>
      <c r="D73" s="629"/>
      <c r="E73" s="629"/>
      <c r="F73" s="629"/>
      <c r="G73" s="629"/>
      <c r="H73" s="629"/>
      <c r="I73" s="629"/>
      <c r="J73" s="629"/>
      <c r="K73" s="41">
        <v>0</v>
      </c>
      <c r="L73" s="12" t="e">
        <f>K73*$L$17</f>
        <v>#REF!</v>
      </c>
    </row>
    <row r="74" spans="2:13">
      <c r="B74" s="614" t="s">
        <v>195</v>
      </c>
      <c r="C74" s="615"/>
      <c r="D74" s="615"/>
      <c r="E74" s="615"/>
      <c r="F74" s="615"/>
      <c r="G74" s="615"/>
      <c r="H74" s="615"/>
      <c r="I74" s="615"/>
      <c r="J74" s="616"/>
      <c r="K74" s="46"/>
      <c r="L74" s="12" t="e">
        <f>SUM(L73:L73)</f>
        <v>#REF!</v>
      </c>
    </row>
    <row r="75" spans="2:13">
      <c r="B75" s="93"/>
      <c r="C75" s="94"/>
      <c r="D75" s="94"/>
      <c r="E75" s="94"/>
      <c r="F75" s="94"/>
      <c r="G75" s="94"/>
      <c r="H75" s="94"/>
      <c r="I75" s="94"/>
      <c r="J75" s="94"/>
      <c r="K75" s="99"/>
      <c r="L75" s="12"/>
    </row>
    <row r="76" spans="2:13">
      <c r="B76" s="602" t="s">
        <v>196</v>
      </c>
      <c r="C76" s="602"/>
      <c r="D76" s="602"/>
      <c r="E76" s="602"/>
      <c r="F76" s="602"/>
      <c r="G76" s="602"/>
      <c r="H76" s="602"/>
      <c r="I76" s="602"/>
      <c r="J76" s="602"/>
      <c r="K76" s="602"/>
      <c r="L76" s="7" t="e">
        <f>L34</f>
        <v>#REF!</v>
      </c>
    </row>
    <row r="77" spans="2:13">
      <c r="B77" s="90" t="s">
        <v>197</v>
      </c>
      <c r="C77" s="603" t="s">
        <v>188</v>
      </c>
      <c r="D77" s="604"/>
      <c r="E77" s="604"/>
      <c r="F77" s="604"/>
      <c r="G77" s="604"/>
      <c r="H77" s="604"/>
      <c r="I77" s="604"/>
      <c r="J77" s="605"/>
      <c r="K77" s="80"/>
      <c r="L77" s="12" t="e">
        <f>L70</f>
        <v>#REF!</v>
      </c>
    </row>
    <row r="78" spans="2:13">
      <c r="B78" s="90" t="s">
        <v>198</v>
      </c>
      <c r="C78" s="603" t="s">
        <v>199</v>
      </c>
      <c r="D78" s="604"/>
      <c r="E78" s="604"/>
      <c r="F78" s="604"/>
      <c r="G78" s="604"/>
      <c r="H78" s="604"/>
      <c r="I78" s="604"/>
      <c r="J78" s="605"/>
      <c r="K78" s="80"/>
      <c r="L78" s="12" t="e">
        <f>L74</f>
        <v>#REF!</v>
      </c>
    </row>
    <row r="79" spans="2:13">
      <c r="B79" s="606" t="s">
        <v>200</v>
      </c>
      <c r="C79" s="607"/>
      <c r="D79" s="607"/>
      <c r="E79" s="607"/>
      <c r="F79" s="607"/>
      <c r="G79" s="607"/>
      <c r="H79" s="607"/>
      <c r="I79" s="607"/>
      <c r="J79" s="608"/>
      <c r="K79" s="101"/>
      <c r="L79" s="102" t="e">
        <f>SUM(L77:L78)</f>
        <v>#REF!</v>
      </c>
    </row>
    <row r="80" spans="2:13">
      <c r="B80" s="609"/>
      <c r="C80" s="610"/>
      <c r="D80" s="610"/>
      <c r="E80" s="610"/>
      <c r="F80" s="610"/>
      <c r="G80" s="610"/>
      <c r="H80" s="610"/>
      <c r="I80" s="610"/>
      <c r="J80" s="610"/>
      <c r="K80" s="610"/>
      <c r="L80" s="610"/>
    </row>
    <row r="81" spans="2:13">
      <c r="B81" s="611" t="s">
        <v>201</v>
      </c>
      <c r="C81" s="611"/>
      <c r="D81" s="611"/>
      <c r="E81" s="611"/>
      <c r="F81" s="611"/>
      <c r="G81" s="611"/>
      <c r="H81" s="611"/>
      <c r="I81" s="611"/>
      <c r="J81" s="611"/>
      <c r="K81" s="97"/>
      <c r="L81" s="98"/>
      <c r="M81" s="23"/>
    </row>
    <row r="82" spans="2:13">
      <c r="B82" s="59" t="s">
        <v>4</v>
      </c>
      <c r="C82" s="630" t="s">
        <v>54</v>
      </c>
      <c r="D82" s="630"/>
      <c r="E82" s="630"/>
      <c r="F82" s="630"/>
      <c r="G82" s="630"/>
      <c r="H82" s="630"/>
      <c r="I82" s="630"/>
      <c r="J82" s="630"/>
      <c r="K82" s="630"/>
      <c r="L82" s="12" t="e">
        <f>#REF!</f>
        <v>#REF!</v>
      </c>
    </row>
    <row r="83" spans="2:13">
      <c r="B83" s="59" t="s">
        <v>6</v>
      </c>
      <c r="C83" s="631" t="s">
        <v>203</v>
      </c>
      <c r="D83" s="632"/>
      <c r="E83" s="633" t="s">
        <v>55</v>
      </c>
      <c r="F83" s="634"/>
      <c r="G83" s="634"/>
      <c r="H83" s="634"/>
      <c r="I83" s="635"/>
      <c r="J83" s="636">
        <v>0.12</v>
      </c>
      <c r="K83" s="637"/>
      <c r="L83" s="19" t="e">
        <f>(L17+L51+L60+L79+L82)/(1-J83)*J83</f>
        <v>#REF!</v>
      </c>
      <c r="M83" s="24"/>
    </row>
    <row r="84" spans="2:13">
      <c r="B84" s="91" t="s">
        <v>210</v>
      </c>
      <c r="C84" s="631" t="s">
        <v>211</v>
      </c>
      <c r="D84" s="632"/>
      <c r="E84" s="633"/>
      <c r="F84" s="634"/>
      <c r="G84" s="634"/>
      <c r="H84" s="634"/>
      <c r="I84" s="635"/>
      <c r="J84" s="657">
        <f>H95+H96</f>
        <v>9.2499999999999999E-2</v>
      </c>
      <c r="K84" s="658"/>
      <c r="L84" s="19" t="e">
        <f>-J84*L83</f>
        <v>#REF!</v>
      </c>
      <c r="M84" s="24"/>
    </row>
    <row r="85" spans="2:13">
      <c r="B85" s="90" t="s">
        <v>10</v>
      </c>
      <c r="C85" s="83" t="s">
        <v>202</v>
      </c>
      <c r="D85" s="84"/>
      <c r="E85" s="85"/>
      <c r="F85" s="86"/>
      <c r="G85" s="86"/>
      <c r="H85" s="86"/>
      <c r="I85" s="87"/>
      <c r="J85" s="88"/>
      <c r="K85" s="89"/>
      <c r="L85" s="19"/>
      <c r="M85" s="24"/>
    </row>
    <row r="86" spans="2:13">
      <c r="B86" s="59" t="s">
        <v>204</v>
      </c>
      <c r="C86" s="620" t="s">
        <v>0</v>
      </c>
      <c r="D86" s="620"/>
      <c r="E86" s="620"/>
      <c r="F86" s="620"/>
      <c r="G86" s="620"/>
      <c r="H86" s="620"/>
      <c r="I86" s="620"/>
      <c r="J86" s="620"/>
      <c r="K86" s="620"/>
      <c r="L86" s="19">
        <v>0</v>
      </c>
    </row>
    <row r="87" spans="2:13">
      <c r="B87" s="606" t="s">
        <v>207</v>
      </c>
      <c r="C87" s="607"/>
      <c r="D87" s="607"/>
      <c r="E87" s="607"/>
      <c r="F87" s="607"/>
      <c r="G87" s="607"/>
      <c r="H87" s="607"/>
      <c r="I87" s="607"/>
      <c r="J87" s="608"/>
      <c r="K87" s="101"/>
      <c r="L87" s="102" t="e">
        <f>SUM(L82:L86)</f>
        <v>#REF!</v>
      </c>
    </row>
    <row r="88" spans="2:13">
      <c r="B88" s="25"/>
      <c r="C88" s="25"/>
      <c r="D88" s="25"/>
      <c r="E88" s="25"/>
      <c r="F88" s="25"/>
      <c r="G88" s="25"/>
      <c r="H88" s="25"/>
      <c r="I88" s="37"/>
      <c r="J88" s="25"/>
      <c r="K88" s="25"/>
    </row>
    <row r="89" spans="2:13">
      <c r="B89" s="16"/>
      <c r="C89" s="16"/>
      <c r="D89" s="16"/>
      <c r="E89" s="16"/>
      <c r="F89" s="16"/>
      <c r="G89" s="16"/>
      <c r="H89" s="48"/>
      <c r="I89" s="48"/>
      <c r="J89" s="48"/>
      <c r="K89" s="48"/>
      <c r="L89" s="49"/>
    </row>
    <row r="90" spans="2:13">
      <c r="B90" s="611" t="s">
        <v>205</v>
      </c>
      <c r="C90" s="611"/>
      <c r="D90" s="611"/>
      <c r="E90" s="611"/>
      <c r="F90" s="611"/>
      <c r="G90" s="611"/>
      <c r="H90" s="611"/>
      <c r="I90" s="611"/>
      <c r="J90" s="611"/>
      <c r="K90" s="97"/>
      <c r="L90" s="98" t="str">
        <f>L5</f>
        <v>SERVENTE</v>
      </c>
    </row>
    <row r="91" spans="2:13">
      <c r="B91" s="59" t="s">
        <v>4</v>
      </c>
      <c r="C91" s="629" t="s">
        <v>206</v>
      </c>
      <c r="D91" s="629"/>
      <c r="E91" s="629"/>
      <c r="F91" s="629"/>
      <c r="G91" s="629"/>
      <c r="H91" s="629"/>
      <c r="I91" s="629"/>
      <c r="J91" s="629"/>
      <c r="K91" s="65">
        <v>0.05</v>
      </c>
      <c r="L91" s="28" t="e">
        <f>K91*L110</f>
        <v>#REF!</v>
      </c>
      <c r="M91" s="50"/>
    </row>
    <row r="92" spans="2:13">
      <c r="B92" s="59" t="s">
        <v>6</v>
      </c>
      <c r="C92" s="629" t="s">
        <v>32</v>
      </c>
      <c r="D92" s="629"/>
      <c r="E92" s="629"/>
      <c r="F92" s="629"/>
      <c r="G92" s="629"/>
      <c r="H92" s="629"/>
      <c r="I92" s="629"/>
      <c r="J92" s="629"/>
      <c r="K92" s="65">
        <v>6.8099999999999994E-2</v>
      </c>
      <c r="L92" s="28" t="e">
        <f>K92*L110</f>
        <v>#REF!</v>
      </c>
      <c r="M92" s="50"/>
    </row>
    <row r="93" spans="2:13">
      <c r="B93" s="645" t="s">
        <v>10</v>
      </c>
      <c r="C93" s="646" t="s">
        <v>33</v>
      </c>
      <c r="D93" s="647"/>
      <c r="E93" s="647"/>
      <c r="F93" s="647"/>
      <c r="G93" s="647"/>
      <c r="H93" s="647"/>
      <c r="I93" s="648"/>
      <c r="J93" s="649" t="e">
        <f>L110+L91+L92</f>
        <v>#REF!</v>
      </c>
      <c r="K93" s="650"/>
      <c r="L93" s="47"/>
    </row>
    <row r="94" spans="2:13">
      <c r="B94" s="645"/>
      <c r="C94" s="651" t="s">
        <v>34</v>
      </c>
      <c r="D94" s="652"/>
      <c r="E94" s="652"/>
      <c r="F94" s="653"/>
      <c r="G94" s="40"/>
      <c r="H94" s="40" t="s">
        <v>35</v>
      </c>
      <c r="I94" s="40"/>
      <c r="J94" s="654"/>
      <c r="K94" s="655"/>
      <c r="L94" s="47"/>
    </row>
    <row r="95" spans="2:13">
      <c r="B95" s="645"/>
      <c r="C95" s="642" t="s">
        <v>36</v>
      </c>
      <c r="D95" s="642"/>
      <c r="E95" s="642"/>
      <c r="F95" s="642"/>
      <c r="G95" s="66" t="s">
        <v>37</v>
      </c>
      <c r="H95" s="35">
        <v>1.6500000000000001E-2</v>
      </c>
      <c r="I95" s="656">
        <f>SUM(H95:H100)</f>
        <v>0.13250000000000001</v>
      </c>
      <c r="J95" s="643" t="e">
        <f t="shared" ref="J95:J100" si="2">ROUND($L$112*H95,2)</f>
        <v>#REF!</v>
      </c>
      <c r="K95" s="644"/>
      <c r="L95" s="671" t="e">
        <f>SUM(J95:K100)</f>
        <v>#REF!</v>
      </c>
    </row>
    <row r="96" spans="2:13">
      <c r="B96" s="645"/>
      <c r="C96" s="642"/>
      <c r="D96" s="642"/>
      <c r="E96" s="642"/>
      <c r="F96" s="642"/>
      <c r="G96" s="66" t="s">
        <v>38</v>
      </c>
      <c r="H96" s="35">
        <v>7.5999999999999998E-2</v>
      </c>
      <c r="I96" s="656"/>
      <c r="J96" s="643" t="e">
        <f t="shared" si="2"/>
        <v>#REF!</v>
      </c>
      <c r="K96" s="644"/>
      <c r="L96" s="672"/>
    </row>
    <row r="97" spans="2:12">
      <c r="B97" s="645"/>
      <c r="C97" s="642"/>
      <c r="D97" s="642"/>
      <c r="E97" s="642"/>
      <c r="F97" s="642"/>
      <c r="G97" s="66" t="s">
        <v>39</v>
      </c>
      <c r="H97" s="35">
        <v>0</v>
      </c>
      <c r="I97" s="656"/>
      <c r="J97" s="643" t="e">
        <f t="shared" si="2"/>
        <v>#REF!</v>
      </c>
      <c r="K97" s="644"/>
      <c r="L97" s="672"/>
    </row>
    <row r="98" spans="2:12">
      <c r="B98" s="645"/>
      <c r="C98" s="642" t="s">
        <v>40</v>
      </c>
      <c r="D98" s="642"/>
      <c r="E98" s="642"/>
      <c r="F98" s="642"/>
      <c r="G98" s="67" t="s">
        <v>41</v>
      </c>
      <c r="H98" s="35">
        <v>0.04</v>
      </c>
      <c r="I98" s="656"/>
      <c r="J98" s="643" t="e">
        <f t="shared" si="2"/>
        <v>#REF!</v>
      </c>
      <c r="K98" s="644"/>
      <c r="L98" s="672"/>
    </row>
    <row r="99" spans="2:12">
      <c r="B99" s="645"/>
      <c r="C99" s="642"/>
      <c r="D99" s="642"/>
      <c r="E99" s="642"/>
      <c r="F99" s="642"/>
      <c r="G99" s="67" t="s">
        <v>39</v>
      </c>
      <c r="H99" s="35">
        <v>0</v>
      </c>
      <c r="I99" s="656"/>
      <c r="J99" s="643" t="e">
        <f t="shared" si="2"/>
        <v>#REF!</v>
      </c>
      <c r="K99" s="644"/>
      <c r="L99" s="672"/>
    </row>
    <row r="100" spans="2:12">
      <c r="B100" s="645"/>
      <c r="C100" s="642" t="s">
        <v>42</v>
      </c>
      <c r="D100" s="642"/>
      <c r="E100" s="642"/>
      <c r="F100" s="642"/>
      <c r="G100" s="67"/>
      <c r="H100" s="35">
        <v>0</v>
      </c>
      <c r="I100" s="656"/>
      <c r="J100" s="643" t="e">
        <f t="shared" si="2"/>
        <v>#REF!</v>
      </c>
      <c r="K100" s="644"/>
      <c r="L100" s="673"/>
    </row>
    <row r="101" spans="2:12">
      <c r="B101" s="645" t="s">
        <v>43</v>
      </c>
      <c r="C101" s="645"/>
      <c r="D101" s="645"/>
      <c r="E101" s="645"/>
      <c r="F101" s="645"/>
      <c r="G101" s="645"/>
      <c r="H101" s="645"/>
      <c r="I101" s="645"/>
      <c r="J101" s="645"/>
      <c r="K101" s="645"/>
      <c r="L101" s="60" t="e">
        <f>L95+L92+L91</f>
        <v>#REF!</v>
      </c>
    </row>
    <row r="102" spans="2:12">
      <c r="B102" s="51"/>
      <c r="C102" s="51"/>
      <c r="D102" s="51"/>
      <c r="E102" s="51"/>
      <c r="F102" s="51"/>
      <c r="G102" s="51"/>
      <c r="H102" s="51"/>
      <c r="I102" s="52"/>
      <c r="J102" s="53"/>
      <c r="K102" s="51"/>
    </row>
    <row r="103" spans="2:12">
      <c r="B103" s="670" t="s">
        <v>44</v>
      </c>
      <c r="C103" s="670"/>
      <c r="D103" s="670"/>
      <c r="E103" s="670"/>
      <c r="F103" s="670"/>
      <c r="G103" s="670"/>
      <c r="H103" s="670"/>
      <c r="I103" s="670"/>
      <c r="J103" s="670"/>
      <c r="K103" s="670"/>
      <c r="L103" s="670"/>
    </row>
    <row r="104" spans="2:12">
      <c r="B104" s="665" t="s">
        <v>45</v>
      </c>
      <c r="C104" s="665"/>
      <c r="D104" s="665"/>
      <c r="E104" s="665"/>
      <c r="F104" s="665"/>
      <c r="G104" s="665"/>
      <c r="H104" s="665"/>
      <c r="I104" s="665"/>
      <c r="J104" s="665"/>
      <c r="K104" s="665"/>
      <c r="L104" s="7" t="str">
        <f>L5</f>
        <v>SERVENTE</v>
      </c>
    </row>
    <row r="105" spans="2:12">
      <c r="B105" s="59" t="s">
        <v>4</v>
      </c>
      <c r="C105" s="629" t="str">
        <f>B6</f>
        <v xml:space="preserve">MÓDULO 01 – Composição da Remuneração </v>
      </c>
      <c r="D105" s="629"/>
      <c r="E105" s="629"/>
      <c r="F105" s="629"/>
      <c r="G105" s="629"/>
      <c r="H105" s="629"/>
      <c r="I105" s="629"/>
      <c r="J105" s="629"/>
      <c r="K105" s="629"/>
      <c r="L105" s="54" t="e">
        <f>L17</f>
        <v>#REF!</v>
      </c>
    </row>
    <row r="106" spans="2:12">
      <c r="B106" s="59" t="s">
        <v>6</v>
      </c>
      <c r="C106" s="629" t="str">
        <f>B19</f>
        <v>MÓDULO 2 – ENCARGOS E BENEFÍCIOS ANUAIS, MENSAIS E DIÁRIOS</v>
      </c>
      <c r="D106" s="629"/>
      <c r="E106" s="629"/>
      <c r="F106" s="629"/>
      <c r="G106" s="629"/>
      <c r="H106" s="629"/>
      <c r="I106" s="629"/>
      <c r="J106" s="629"/>
      <c r="K106" s="629"/>
      <c r="L106" s="54" t="e">
        <f>L51</f>
        <v>#REF!</v>
      </c>
    </row>
    <row r="107" spans="2:12">
      <c r="B107" s="59" t="s">
        <v>10</v>
      </c>
      <c r="C107" s="629" t="str">
        <f>B53</f>
        <v>MÓDULO 3 – PROVISÃO PARA RESCISÃO</v>
      </c>
      <c r="D107" s="629"/>
      <c r="E107" s="629"/>
      <c r="F107" s="629"/>
      <c r="G107" s="629"/>
      <c r="H107" s="629"/>
      <c r="I107" s="629"/>
      <c r="J107" s="629"/>
      <c r="K107" s="629"/>
      <c r="L107" s="54" t="e">
        <f>L60</f>
        <v>#REF!</v>
      </c>
    </row>
    <row r="108" spans="2:12">
      <c r="B108" s="59" t="s">
        <v>12</v>
      </c>
      <c r="C108" s="629" t="str">
        <f>B62</f>
        <v>MÓDULO 4 – CUSTO DE REPOSIÇÃO DO PROFISSIONAL AUSENTE</v>
      </c>
      <c r="D108" s="629"/>
      <c r="E108" s="629"/>
      <c r="F108" s="629"/>
      <c r="G108" s="629"/>
      <c r="H108" s="629"/>
      <c r="I108" s="629"/>
      <c r="J108" s="629"/>
      <c r="K108" s="629"/>
      <c r="L108" s="54" t="e">
        <f>L79</f>
        <v>#REF!</v>
      </c>
    </row>
    <row r="109" spans="2:12">
      <c r="B109" s="90" t="s">
        <v>14</v>
      </c>
      <c r="C109" s="629" t="str">
        <f>B81</f>
        <v>MÓDULO 5 – INSUMOS DIVERSOS</v>
      </c>
      <c r="D109" s="629"/>
      <c r="E109" s="629"/>
      <c r="F109" s="629"/>
      <c r="G109" s="629"/>
      <c r="H109" s="629"/>
      <c r="I109" s="629"/>
      <c r="J109" s="629"/>
      <c r="K109" s="629"/>
      <c r="L109" s="54" t="e">
        <f>L87</f>
        <v>#REF!</v>
      </c>
    </row>
    <row r="110" spans="2:12">
      <c r="B110" s="665" t="s">
        <v>209</v>
      </c>
      <c r="C110" s="665"/>
      <c r="D110" s="665"/>
      <c r="E110" s="665"/>
      <c r="F110" s="665"/>
      <c r="G110" s="665"/>
      <c r="H110" s="665"/>
      <c r="I110" s="665"/>
      <c r="J110" s="665"/>
      <c r="K110" s="665"/>
      <c r="L110" s="61" t="e">
        <f>SUM(L105:L109)</f>
        <v>#REF!</v>
      </c>
    </row>
    <row r="111" spans="2:12">
      <c r="B111" s="59" t="s">
        <v>14</v>
      </c>
      <c r="C111" s="629" t="s">
        <v>46</v>
      </c>
      <c r="D111" s="629"/>
      <c r="E111" s="629"/>
      <c r="F111" s="629"/>
      <c r="G111" s="629"/>
      <c r="H111" s="629"/>
      <c r="I111" s="629"/>
      <c r="J111" s="629"/>
      <c r="K111" s="629"/>
      <c r="L111" s="55" t="e">
        <f>L112-L110</f>
        <v>#REF!</v>
      </c>
    </row>
    <row r="112" spans="2:12">
      <c r="B112" s="666" t="s">
        <v>47</v>
      </c>
      <c r="C112" s="666"/>
      <c r="D112" s="666"/>
      <c r="E112" s="666"/>
      <c r="F112" s="666"/>
      <c r="G112" s="666"/>
      <c r="H112" s="666"/>
      <c r="I112" s="666"/>
      <c r="J112" s="666"/>
      <c r="K112" s="666"/>
      <c r="L112" s="62" t="e">
        <f>ROUND(J93/(1-$I$95),2)</f>
        <v>#REF!</v>
      </c>
    </row>
    <row r="113" spans="6:12">
      <c r="K113" s="50"/>
    </row>
    <row r="115" spans="6:12">
      <c r="F115" s="667" t="s">
        <v>48</v>
      </c>
      <c r="G115" s="668"/>
      <c r="H115" s="668"/>
      <c r="I115" s="669"/>
      <c r="J115" s="1"/>
      <c r="L115" s="1"/>
    </row>
    <row r="116" spans="6:12">
      <c r="F116" s="667" t="s">
        <v>49</v>
      </c>
      <c r="G116" s="668"/>
      <c r="H116" s="669"/>
      <c r="I116" s="56" t="s">
        <v>9</v>
      </c>
      <c r="J116" s="1"/>
      <c r="L116" s="1"/>
    </row>
    <row r="117" spans="6:12">
      <c r="F117" s="57" t="s">
        <v>50</v>
      </c>
      <c r="G117" s="57"/>
      <c r="H117" s="58"/>
      <c r="I117" s="58">
        <f>K91</f>
        <v>0.05</v>
      </c>
      <c r="J117" s="1"/>
      <c r="L117" s="1"/>
    </row>
    <row r="118" spans="6:12">
      <c r="F118" s="659" t="s">
        <v>32</v>
      </c>
      <c r="G118" s="660"/>
      <c r="H118" s="661"/>
      <c r="I118" s="58">
        <f>K92</f>
        <v>6.8099999999999994E-2</v>
      </c>
      <c r="J118" s="1"/>
      <c r="L118" s="1"/>
    </row>
    <row r="119" spans="6:12">
      <c r="F119" s="57" t="s">
        <v>51</v>
      </c>
      <c r="G119" s="57"/>
      <c r="H119" s="58"/>
      <c r="I119" s="58">
        <f>I95</f>
        <v>0.13250000000000001</v>
      </c>
      <c r="J119" s="1"/>
      <c r="L119" s="1"/>
    </row>
    <row r="120" spans="6:12">
      <c r="F120" s="662" t="s">
        <v>52</v>
      </c>
      <c r="G120" s="663"/>
      <c r="H120" s="664"/>
      <c r="I120" s="58">
        <f>(1+I117)*(1+I118)/(1-I119)-1</f>
        <v>0.29280115273775253</v>
      </c>
      <c r="J120" s="1"/>
      <c r="L120" s="1"/>
    </row>
  </sheetData>
  <mergeCells count="126">
    <mergeCell ref="C84:D84"/>
    <mergeCell ref="E84:I84"/>
    <mergeCell ref="J84:K84"/>
    <mergeCell ref="F118:H118"/>
    <mergeCell ref="F120:H120"/>
    <mergeCell ref="C108:K108"/>
    <mergeCell ref="B110:K110"/>
    <mergeCell ref="C111:K111"/>
    <mergeCell ref="B112:K112"/>
    <mergeCell ref="F115:I115"/>
    <mergeCell ref="F116:H116"/>
    <mergeCell ref="B101:K101"/>
    <mergeCell ref="B103:L103"/>
    <mergeCell ref="B104:K104"/>
    <mergeCell ref="C105:K105"/>
    <mergeCell ref="C106:K106"/>
    <mergeCell ref="C107:K107"/>
    <mergeCell ref="C109:K109"/>
    <mergeCell ref="L95:L100"/>
    <mergeCell ref="J96:K96"/>
    <mergeCell ref="J97:K97"/>
    <mergeCell ref="C98:F99"/>
    <mergeCell ref="J98:K98"/>
    <mergeCell ref="J99:K99"/>
    <mergeCell ref="C100:F100"/>
    <mergeCell ref="J100:K100"/>
    <mergeCell ref="B93:B100"/>
    <mergeCell ref="C93:I93"/>
    <mergeCell ref="J93:K93"/>
    <mergeCell ref="C94:F94"/>
    <mergeCell ref="J94:K94"/>
    <mergeCell ref="C95:F97"/>
    <mergeCell ref="I95:I100"/>
    <mergeCell ref="J95:K95"/>
    <mergeCell ref="C91:J91"/>
    <mergeCell ref="C92:J92"/>
    <mergeCell ref="B72:J72"/>
    <mergeCell ref="C73:J73"/>
    <mergeCell ref="C78:J78"/>
    <mergeCell ref="B74:J74"/>
    <mergeCell ref="B62:J62"/>
    <mergeCell ref="C64:J64"/>
    <mergeCell ref="B53:J53"/>
    <mergeCell ref="C54:H54"/>
    <mergeCell ref="C65:F65"/>
    <mergeCell ref="G65:I65"/>
    <mergeCell ref="C66:F66"/>
    <mergeCell ref="G66:H66"/>
    <mergeCell ref="G68:H68"/>
    <mergeCell ref="C69:J69"/>
    <mergeCell ref="C58:H58"/>
    <mergeCell ref="I58:J58"/>
    <mergeCell ref="C59:H59"/>
    <mergeCell ref="I59:J59"/>
    <mergeCell ref="G67:H67"/>
    <mergeCell ref="C67:E67"/>
    <mergeCell ref="C68:E68"/>
    <mergeCell ref="B70:J70"/>
    <mergeCell ref="B63:J63"/>
    <mergeCell ref="C29:J29"/>
    <mergeCell ref="C30:J30"/>
    <mergeCell ref="C32:F32"/>
    <mergeCell ref="C33:J33"/>
    <mergeCell ref="C31:D31"/>
    <mergeCell ref="E31:F31"/>
    <mergeCell ref="G31:J31"/>
    <mergeCell ref="C57:H57"/>
    <mergeCell ref="I57:J57"/>
    <mergeCell ref="B52:L52"/>
    <mergeCell ref="B2:L2"/>
    <mergeCell ref="B3:L4"/>
    <mergeCell ref="B6:L6"/>
    <mergeCell ref="C7:K7"/>
    <mergeCell ref="C9:E9"/>
    <mergeCell ref="F9:I9"/>
    <mergeCell ref="C8:K8"/>
    <mergeCell ref="C86:K86"/>
    <mergeCell ref="C26:J26"/>
    <mergeCell ref="C27:J27"/>
    <mergeCell ref="C44:K44"/>
    <mergeCell ref="C82:K82"/>
    <mergeCell ref="C83:D83"/>
    <mergeCell ref="E83:I83"/>
    <mergeCell ref="J83:K83"/>
    <mergeCell ref="B47:K47"/>
    <mergeCell ref="C48:J48"/>
    <mergeCell ref="C49:J49"/>
    <mergeCell ref="C50:J50"/>
    <mergeCell ref="B51:J51"/>
    <mergeCell ref="B60:J60"/>
    <mergeCell ref="C55:H55"/>
    <mergeCell ref="I55:J55"/>
    <mergeCell ref="C56:H56"/>
    <mergeCell ref="C10:I10"/>
    <mergeCell ref="C11:I11"/>
    <mergeCell ref="C12:I12"/>
    <mergeCell ref="C13:I13"/>
    <mergeCell ref="B19:K19"/>
    <mergeCell ref="C14:I14"/>
    <mergeCell ref="C15:K15"/>
    <mergeCell ref="C16:K16"/>
    <mergeCell ref="B17:K17"/>
    <mergeCell ref="B76:K76"/>
    <mergeCell ref="C77:J77"/>
    <mergeCell ref="B79:J79"/>
    <mergeCell ref="B80:L80"/>
    <mergeCell ref="B81:J81"/>
    <mergeCell ref="B90:J90"/>
    <mergeCell ref="B87:J87"/>
    <mergeCell ref="B20:J20"/>
    <mergeCell ref="B23:J23"/>
    <mergeCell ref="C21:J21"/>
    <mergeCell ref="C22:J22"/>
    <mergeCell ref="B25:J25"/>
    <mergeCell ref="B34:J34"/>
    <mergeCell ref="B36:J36"/>
    <mergeCell ref="C37:J37"/>
    <mergeCell ref="C38:J38"/>
    <mergeCell ref="C39:J39"/>
    <mergeCell ref="C40:J40"/>
    <mergeCell ref="C41:J41"/>
    <mergeCell ref="C42:J42"/>
    <mergeCell ref="C43:J43"/>
    <mergeCell ref="B45:J45"/>
    <mergeCell ref="I56:J56"/>
    <mergeCell ref="C28:J28"/>
  </mergeCells>
  <pageMargins left="0.511811024" right="0.511811024" top="0.78740157499999996" bottom="0.78740157499999996" header="0.31496062000000002" footer="0.31496062000000002"/>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120"/>
  <sheetViews>
    <sheetView workbookViewId="0">
      <selection activeCell="G85" sqref="G85"/>
    </sheetView>
  </sheetViews>
  <sheetFormatPr defaultColWidth="11.85546875" defaultRowHeight="15"/>
  <cols>
    <col min="1" max="1" width="6.28515625" style="1" customWidth="1"/>
    <col min="2" max="2" width="4.5703125" style="1" customWidth="1"/>
    <col min="3" max="3" width="9" style="1" customWidth="1"/>
    <col min="4" max="4" width="25" style="1" customWidth="1"/>
    <col min="5" max="5" width="4.7109375" style="1" bestFit="1" customWidth="1"/>
    <col min="6" max="6" width="9" style="1" bestFit="1" customWidth="1"/>
    <col min="7" max="7" width="10.42578125" style="1" customWidth="1"/>
    <col min="8" max="8" width="10.7109375" style="1" customWidth="1"/>
    <col min="9" max="9" width="16.7109375" style="32" customWidth="1"/>
    <col min="10" max="10" width="9" style="33" bestFit="1" customWidth="1"/>
    <col min="11" max="11" width="9.140625" style="1" bestFit="1" customWidth="1"/>
    <col min="12" max="12" width="12.7109375" style="18" bestFit="1" customWidth="1"/>
    <col min="13" max="13" width="13.28515625" style="1" bestFit="1" customWidth="1"/>
    <col min="14" max="16384" width="11.85546875" style="1"/>
  </cols>
  <sheetData>
    <row r="2" spans="2:13">
      <c r="B2" s="622" t="s">
        <v>2</v>
      </c>
      <c r="C2" s="622"/>
      <c r="D2" s="622"/>
      <c r="E2" s="622"/>
      <c r="F2" s="622"/>
      <c r="G2" s="622"/>
      <c r="H2" s="622"/>
      <c r="I2" s="622"/>
      <c r="J2" s="622"/>
      <c r="K2" s="622"/>
      <c r="L2" s="622"/>
    </row>
    <row r="3" spans="2:13" s="2" customFormat="1">
      <c r="B3" s="623" t="e">
        <f>#REF!</f>
        <v>#REF!</v>
      </c>
      <c r="C3" s="624"/>
      <c r="D3" s="624"/>
      <c r="E3" s="624"/>
      <c r="F3" s="624"/>
      <c r="G3" s="624"/>
      <c r="H3" s="624"/>
      <c r="I3" s="624"/>
      <c r="J3" s="624"/>
      <c r="K3" s="624"/>
      <c r="L3" s="625"/>
    </row>
    <row r="4" spans="2:13" s="2" customFormat="1">
      <c r="B4" s="626"/>
      <c r="C4" s="627"/>
      <c r="D4" s="627"/>
      <c r="E4" s="627"/>
      <c r="F4" s="627"/>
      <c r="G4" s="627"/>
      <c r="H4" s="627"/>
      <c r="I4" s="627"/>
      <c r="J4" s="627"/>
      <c r="K4" s="627"/>
      <c r="L4" s="628"/>
    </row>
    <row r="5" spans="2:13">
      <c r="B5" s="3"/>
      <c r="C5" s="4"/>
      <c r="D5" s="4"/>
      <c r="E5" s="4"/>
      <c r="F5" s="4"/>
      <c r="G5" s="4"/>
      <c r="H5" s="4"/>
      <c r="I5" s="5"/>
      <c r="J5" s="4"/>
      <c r="K5" s="6"/>
      <c r="L5" s="7" t="s">
        <v>53</v>
      </c>
    </row>
    <row r="6" spans="2:13">
      <c r="B6" s="611" t="s">
        <v>3</v>
      </c>
      <c r="C6" s="611"/>
      <c r="D6" s="611"/>
      <c r="E6" s="611"/>
      <c r="F6" s="611"/>
      <c r="G6" s="611"/>
      <c r="H6" s="611"/>
      <c r="I6" s="611"/>
      <c r="J6" s="611"/>
      <c r="K6" s="611"/>
      <c r="L6" s="611"/>
    </row>
    <row r="7" spans="2:13">
      <c r="B7" s="8" t="s">
        <v>4</v>
      </c>
      <c r="C7" s="629" t="s">
        <v>5</v>
      </c>
      <c r="D7" s="629"/>
      <c r="E7" s="629"/>
      <c r="F7" s="629"/>
      <c r="G7" s="629"/>
      <c r="H7" s="629"/>
      <c r="I7" s="629"/>
      <c r="J7" s="629"/>
      <c r="K7" s="629"/>
      <c r="L7" s="9" t="e">
        <f>#REF!</f>
        <v>#REF!</v>
      </c>
    </row>
    <row r="8" spans="2:13">
      <c r="B8" s="79" t="s">
        <v>154</v>
      </c>
      <c r="C8" s="629" t="s">
        <v>155</v>
      </c>
      <c r="D8" s="629"/>
      <c r="E8" s="629"/>
      <c r="F8" s="629"/>
      <c r="G8" s="629"/>
      <c r="H8" s="629"/>
      <c r="I8" s="629"/>
      <c r="J8" s="629"/>
      <c r="K8" s="629"/>
      <c r="L8" s="9"/>
    </row>
    <row r="9" spans="2:13">
      <c r="B9" s="8" t="s">
        <v>6</v>
      </c>
      <c r="C9" s="629" t="s">
        <v>7</v>
      </c>
      <c r="D9" s="629"/>
      <c r="E9" s="629"/>
      <c r="F9" s="617" t="s">
        <v>8</v>
      </c>
      <c r="G9" s="617"/>
      <c r="H9" s="617"/>
      <c r="I9" s="617"/>
      <c r="J9" s="10" t="s">
        <v>9</v>
      </c>
      <c r="K9" s="11">
        <v>0</v>
      </c>
      <c r="L9" s="12">
        <v>0</v>
      </c>
      <c r="M9" s="13"/>
    </row>
    <row r="10" spans="2:13">
      <c r="B10" s="90" t="s">
        <v>10</v>
      </c>
      <c r="C10" s="603" t="s">
        <v>160</v>
      </c>
      <c r="D10" s="604"/>
      <c r="E10" s="604"/>
      <c r="F10" s="604"/>
      <c r="G10" s="604"/>
      <c r="H10" s="604"/>
      <c r="I10" s="605"/>
      <c r="J10" s="10" t="s">
        <v>9</v>
      </c>
      <c r="K10" s="11">
        <v>0</v>
      </c>
      <c r="L10" s="12">
        <v>0</v>
      </c>
      <c r="M10" s="13"/>
    </row>
    <row r="11" spans="2:13">
      <c r="B11" s="90" t="s">
        <v>12</v>
      </c>
      <c r="C11" s="603" t="s">
        <v>157</v>
      </c>
      <c r="D11" s="604"/>
      <c r="E11" s="604"/>
      <c r="F11" s="604"/>
      <c r="G11" s="604"/>
      <c r="H11" s="604"/>
      <c r="I11" s="605"/>
      <c r="J11" s="10" t="s">
        <v>9</v>
      </c>
      <c r="K11" s="11">
        <v>0</v>
      </c>
      <c r="L11" s="12">
        <v>0</v>
      </c>
      <c r="M11" s="13"/>
    </row>
    <row r="12" spans="2:13">
      <c r="B12" s="90" t="s">
        <v>14</v>
      </c>
      <c r="C12" s="603" t="s">
        <v>158</v>
      </c>
      <c r="D12" s="604"/>
      <c r="E12" s="604"/>
      <c r="F12" s="604"/>
      <c r="G12" s="604"/>
      <c r="H12" s="604"/>
      <c r="I12" s="605"/>
      <c r="J12" s="10" t="s">
        <v>9</v>
      </c>
      <c r="K12" s="11">
        <v>0</v>
      </c>
      <c r="L12" s="12">
        <v>0</v>
      </c>
      <c r="M12" s="13"/>
    </row>
    <row r="13" spans="2:13">
      <c r="B13" s="90" t="s">
        <v>1</v>
      </c>
      <c r="C13" s="603" t="s">
        <v>159</v>
      </c>
      <c r="D13" s="604"/>
      <c r="E13" s="604"/>
      <c r="F13" s="604"/>
      <c r="G13" s="604"/>
      <c r="H13" s="604"/>
      <c r="I13" s="605"/>
      <c r="J13" s="10" t="s">
        <v>9</v>
      </c>
      <c r="K13" s="11">
        <v>0</v>
      </c>
      <c r="L13" s="12">
        <v>0</v>
      </c>
      <c r="M13" s="13"/>
    </row>
    <row r="14" spans="2:13">
      <c r="B14" s="90" t="s">
        <v>15</v>
      </c>
      <c r="C14" s="618" t="s">
        <v>11</v>
      </c>
      <c r="D14" s="618"/>
      <c r="E14" s="618"/>
      <c r="F14" s="618"/>
      <c r="G14" s="618"/>
      <c r="H14" s="618"/>
      <c r="I14" s="618"/>
      <c r="J14" s="10" t="s">
        <v>9</v>
      </c>
      <c r="K14" s="14">
        <v>0</v>
      </c>
      <c r="L14" s="12">
        <v>0</v>
      </c>
      <c r="M14" s="13"/>
    </row>
    <row r="15" spans="2:13">
      <c r="B15" s="90" t="s">
        <v>16</v>
      </c>
      <c r="C15" s="619" t="s">
        <v>13</v>
      </c>
      <c r="D15" s="619"/>
      <c r="E15" s="619"/>
      <c r="F15" s="619"/>
      <c r="G15" s="619"/>
      <c r="H15" s="619"/>
      <c r="I15" s="619"/>
      <c r="J15" s="619"/>
      <c r="K15" s="619"/>
      <c r="L15" s="12">
        <v>0</v>
      </c>
      <c r="M15" s="13"/>
    </row>
    <row r="16" spans="2:13">
      <c r="B16" s="90" t="s">
        <v>156</v>
      </c>
      <c r="C16" s="620" t="s">
        <v>0</v>
      </c>
      <c r="D16" s="620"/>
      <c r="E16" s="620"/>
      <c r="F16" s="620"/>
      <c r="G16" s="620"/>
      <c r="H16" s="620"/>
      <c r="I16" s="620"/>
      <c r="J16" s="620"/>
      <c r="K16" s="620"/>
      <c r="L16" s="12"/>
      <c r="M16" s="13"/>
    </row>
    <row r="17" spans="2:13">
      <c r="B17" s="621" t="s">
        <v>208</v>
      </c>
      <c r="C17" s="621"/>
      <c r="D17" s="621"/>
      <c r="E17" s="621"/>
      <c r="F17" s="621"/>
      <c r="G17" s="621"/>
      <c r="H17" s="621"/>
      <c r="I17" s="621"/>
      <c r="J17" s="621"/>
      <c r="K17" s="621"/>
      <c r="L17" s="100" t="e">
        <f>SUM(L7:L16)</f>
        <v>#REF!</v>
      </c>
      <c r="M17" s="15"/>
    </row>
    <row r="18" spans="2:13">
      <c r="B18" s="16"/>
      <c r="C18" s="16"/>
      <c r="D18" s="16"/>
      <c r="E18" s="16"/>
      <c r="F18" s="16"/>
      <c r="G18" s="16"/>
      <c r="H18" s="16"/>
      <c r="I18" s="17"/>
      <c r="J18" s="16"/>
      <c r="K18" s="16"/>
    </row>
    <row r="19" spans="2:13">
      <c r="B19" s="611" t="s">
        <v>161</v>
      </c>
      <c r="C19" s="611"/>
      <c r="D19" s="611"/>
      <c r="E19" s="611"/>
      <c r="F19" s="611"/>
      <c r="G19" s="611"/>
      <c r="H19" s="611"/>
      <c r="I19" s="611"/>
      <c r="J19" s="611"/>
      <c r="K19" s="611"/>
      <c r="L19" s="7" t="str">
        <f>L5</f>
        <v>SERVENTE</v>
      </c>
    </row>
    <row r="20" spans="2:13">
      <c r="B20" s="612" t="s">
        <v>162</v>
      </c>
      <c r="C20" s="613"/>
      <c r="D20" s="613"/>
      <c r="E20" s="613"/>
      <c r="F20" s="613"/>
      <c r="G20" s="613"/>
      <c r="H20" s="613"/>
      <c r="I20" s="613"/>
      <c r="J20" s="613"/>
      <c r="K20" s="92" t="s">
        <v>9</v>
      </c>
      <c r="L20" s="12" t="s">
        <v>166</v>
      </c>
    </row>
    <row r="21" spans="2:13">
      <c r="B21" s="90" t="s">
        <v>4</v>
      </c>
      <c r="C21" s="603" t="s">
        <v>163</v>
      </c>
      <c r="D21" s="604"/>
      <c r="E21" s="604"/>
      <c r="F21" s="604"/>
      <c r="G21" s="604"/>
      <c r="H21" s="604"/>
      <c r="I21" s="604"/>
      <c r="J21" s="605"/>
      <c r="K21" s="34">
        <v>8.3299999999999999E-2</v>
      </c>
      <c r="L21" s="12" t="e">
        <f>K21*L17</f>
        <v>#REF!</v>
      </c>
    </row>
    <row r="22" spans="2:13">
      <c r="B22" s="90" t="s">
        <v>6</v>
      </c>
      <c r="C22" s="603" t="s">
        <v>164</v>
      </c>
      <c r="D22" s="604"/>
      <c r="E22" s="604"/>
      <c r="F22" s="604"/>
      <c r="G22" s="604"/>
      <c r="H22" s="604"/>
      <c r="I22" s="604"/>
      <c r="J22" s="605"/>
      <c r="K22" s="34">
        <v>2.7799999999999998E-2</v>
      </c>
      <c r="L22" s="12" t="e">
        <f>K22*L17</f>
        <v>#REF!</v>
      </c>
    </row>
    <row r="23" spans="2:13">
      <c r="B23" s="614" t="s">
        <v>165</v>
      </c>
      <c r="C23" s="615"/>
      <c r="D23" s="615"/>
      <c r="E23" s="615"/>
      <c r="F23" s="615"/>
      <c r="G23" s="615"/>
      <c r="H23" s="615"/>
      <c r="I23" s="615"/>
      <c r="J23" s="616"/>
      <c r="K23" s="34">
        <f>SUM(K21:K22)</f>
        <v>0.1111</v>
      </c>
      <c r="L23" s="12" t="e">
        <f>SUM(L21:L22)</f>
        <v>#REF!</v>
      </c>
    </row>
    <row r="24" spans="2:13">
      <c r="B24" s="93"/>
      <c r="C24" s="94"/>
      <c r="D24" s="94"/>
      <c r="E24" s="94"/>
      <c r="F24" s="94"/>
      <c r="G24" s="94"/>
      <c r="H24" s="94"/>
      <c r="I24" s="94"/>
      <c r="J24" s="95"/>
      <c r="K24" s="34"/>
      <c r="L24" s="12"/>
    </row>
    <row r="25" spans="2:13">
      <c r="B25" s="612" t="s">
        <v>167</v>
      </c>
      <c r="C25" s="613"/>
      <c r="D25" s="613"/>
      <c r="E25" s="613"/>
      <c r="F25" s="613"/>
      <c r="G25" s="613"/>
      <c r="H25" s="613"/>
      <c r="I25" s="613"/>
      <c r="J25" s="613"/>
      <c r="K25" s="92" t="s">
        <v>9</v>
      </c>
      <c r="L25" s="12" t="s">
        <v>166</v>
      </c>
    </row>
    <row r="26" spans="2:13">
      <c r="B26" s="74" t="s">
        <v>4</v>
      </c>
      <c r="C26" s="617" t="s">
        <v>17</v>
      </c>
      <c r="D26" s="617"/>
      <c r="E26" s="617"/>
      <c r="F26" s="617"/>
      <c r="G26" s="617"/>
      <c r="H26" s="617"/>
      <c r="I26" s="617"/>
      <c r="J26" s="617"/>
      <c r="K26" s="27">
        <v>0.2</v>
      </c>
      <c r="L26" s="28" t="e">
        <f>ROUND($K$26*L17,2)</f>
        <v>#REF!</v>
      </c>
    </row>
    <row r="27" spans="2:13">
      <c r="B27" s="74" t="s">
        <v>6</v>
      </c>
      <c r="C27" s="617" t="s">
        <v>18</v>
      </c>
      <c r="D27" s="617"/>
      <c r="E27" s="617"/>
      <c r="F27" s="617"/>
      <c r="G27" s="617"/>
      <c r="H27" s="617"/>
      <c r="I27" s="617"/>
      <c r="J27" s="617"/>
      <c r="K27" s="27">
        <v>1.4999999999999999E-2</v>
      </c>
      <c r="L27" s="28" t="e">
        <f>ROUND($K$27*L17,2)</f>
        <v>#REF!</v>
      </c>
    </row>
    <row r="28" spans="2:13">
      <c r="B28" s="74" t="s">
        <v>10</v>
      </c>
      <c r="C28" s="617" t="s">
        <v>19</v>
      </c>
      <c r="D28" s="617"/>
      <c r="E28" s="617"/>
      <c r="F28" s="617"/>
      <c r="G28" s="617"/>
      <c r="H28" s="617"/>
      <c r="I28" s="617"/>
      <c r="J28" s="617"/>
      <c r="K28" s="27">
        <v>0.01</v>
      </c>
      <c r="L28" s="28" t="e">
        <f>ROUND(K28*$L$17,2)</f>
        <v>#REF!</v>
      </c>
    </row>
    <row r="29" spans="2:13">
      <c r="B29" s="74" t="s">
        <v>12</v>
      </c>
      <c r="C29" s="617" t="s">
        <v>20</v>
      </c>
      <c r="D29" s="617"/>
      <c r="E29" s="617"/>
      <c r="F29" s="617"/>
      <c r="G29" s="617"/>
      <c r="H29" s="617"/>
      <c r="I29" s="617"/>
      <c r="J29" s="617"/>
      <c r="K29" s="27">
        <v>2E-3</v>
      </c>
      <c r="L29" s="28" t="e">
        <f>ROUND(K29*$L$17,2)</f>
        <v>#REF!</v>
      </c>
    </row>
    <row r="30" spans="2:13">
      <c r="B30" s="74" t="s">
        <v>14</v>
      </c>
      <c r="C30" s="617" t="s">
        <v>21</v>
      </c>
      <c r="D30" s="617"/>
      <c r="E30" s="617"/>
      <c r="F30" s="617"/>
      <c r="G30" s="617"/>
      <c r="H30" s="617"/>
      <c r="I30" s="617"/>
      <c r="J30" s="617"/>
      <c r="K30" s="27">
        <v>2.5000000000000001E-2</v>
      </c>
      <c r="L30" s="28" t="e">
        <f>ROUND(K30*$L$17,2)</f>
        <v>#REF!</v>
      </c>
      <c r="M30" s="29"/>
    </row>
    <row r="31" spans="2:13">
      <c r="B31" s="74" t="s">
        <v>1</v>
      </c>
      <c r="C31" s="603" t="s">
        <v>153</v>
      </c>
      <c r="D31" s="605"/>
      <c r="E31" s="638">
        <v>0.08</v>
      </c>
      <c r="F31" s="639"/>
      <c r="G31" s="603" t="s">
        <v>152</v>
      </c>
      <c r="H31" s="604"/>
      <c r="I31" s="604"/>
      <c r="J31" s="605"/>
      <c r="K31" s="27">
        <f>E31*(1+(1/12)+(1/12/3))</f>
        <v>8.8888888888888878E-2</v>
      </c>
      <c r="L31" s="28" t="e">
        <f>ROUND(K31*($L$17+(1/3/12*L17)+(1/12*L17)),2)</f>
        <v>#REF!</v>
      </c>
      <c r="M31" s="1" t="s">
        <v>168</v>
      </c>
    </row>
    <row r="32" spans="2:13">
      <c r="B32" s="74" t="s">
        <v>15</v>
      </c>
      <c r="C32" s="617" t="s">
        <v>22</v>
      </c>
      <c r="D32" s="617"/>
      <c r="E32" s="617"/>
      <c r="F32" s="617"/>
      <c r="G32" s="73" t="s">
        <v>23</v>
      </c>
      <c r="H32" s="30">
        <v>0.03</v>
      </c>
      <c r="I32" s="73" t="s">
        <v>24</v>
      </c>
      <c r="J32" s="63">
        <v>1</v>
      </c>
      <c r="K32" s="31">
        <f>H32*J32</f>
        <v>0.03</v>
      </c>
      <c r="L32" s="28" t="e">
        <f>ROUND(K32*$L$17,2)</f>
        <v>#REF!</v>
      </c>
    </row>
    <row r="33" spans="2:20">
      <c r="B33" s="74" t="s">
        <v>16</v>
      </c>
      <c r="C33" s="617" t="s">
        <v>25</v>
      </c>
      <c r="D33" s="617"/>
      <c r="E33" s="617"/>
      <c r="F33" s="617"/>
      <c r="G33" s="617"/>
      <c r="H33" s="617"/>
      <c r="I33" s="617"/>
      <c r="J33" s="617"/>
      <c r="K33" s="27">
        <v>6.0000000000000001E-3</v>
      </c>
      <c r="L33" s="28" t="e">
        <f>ROUND(K33*$L$17,2)</f>
        <v>#REF!</v>
      </c>
      <c r="M33" s="2"/>
      <c r="N33" s="2"/>
      <c r="O33" s="2"/>
      <c r="P33" s="2"/>
      <c r="Q33" s="2"/>
      <c r="R33" s="2"/>
      <c r="S33" s="2"/>
      <c r="T33" s="2"/>
    </row>
    <row r="34" spans="2:20">
      <c r="B34" s="614" t="s">
        <v>169</v>
      </c>
      <c r="C34" s="615"/>
      <c r="D34" s="615"/>
      <c r="E34" s="615"/>
      <c r="F34" s="615"/>
      <c r="G34" s="615"/>
      <c r="H34" s="615"/>
      <c r="I34" s="615"/>
      <c r="J34" s="616"/>
      <c r="K34" s="34">
        <f>SUM(K26:K33)</f>
        <v>0.37688888888888894</v>
      </c>
      <c r="L34" s="12" t="e">
        <f>SUM(L26:L33)</f>
        <v>#REF!</v>
      </c>
      <c r="M34" s="2"/>
      <c r="N34" s="2"/>
      <c r="O34" s="2"/>
      <c r="P34" s="2"/>
      <c r="Q34" s="2"/>
      <c r="R34" s="2"/>
      <c r="S34" s="2"/>
      <c r="T34" s="2"/>
    </row>
    <row r="35" spans="2:20">
      <c r="B35" s="93"/>
      <c r="C35" s="94"/>
      <c r="D35" s="94"/>
      <c r="E35" s="94"/>
      <c r="F35" s="94"/>
      <c r="G35" s="94"/>
      <c r="H35" s="94"/>
      <c r="I35" s="94"/>
      <c r="J35" s="95"/>
      <c r="K35" s="34"/>
      <c r="L35" s="12"/>
      <c r="M35" s="2"/>
      <c r="N35" s="2"/>
      <c r="O35" s="2"/>
      <c r="P35" s="2"/>
      <c r="Q35" s="2"/>
      <c r="R35" s="2"/>
      <c r="S35" s="2"/>
      <c r="T35" s="2"/>
    </row>
    <row r="36" spans="2:20">
      <c r="B36" s="612" t="s">
        <v>170</v>
      </c>
      <c r="C36" s="613"/>
      <c r="D36" s="613"/>
      <c r="E36" s="613"/>
      <c r="F36" s="613"/>
      <c r="G36" s="613"/>
      <c r="H36" s="613"/>
      <c r="I36" s="613"/>
      <c r="J36" s="613"/>
      <c r="K36" s="92"/>
      <c r="L36" s="12" t="s">
        <v>166</v>
      </c>
    </row>
    <row r="37" spans="2:20">
      <c r="B37" s="8" t="s">
        <v>4</v>
      </c>
      <c r="C37" s="603" t="e">
        <f>#REF!</f>
        <v>#REF!</v>
      </c>
      <c r="D37" s="604"/>
      <c r="E37" s="604"/>
      <c r="F37" s="604"/>
      <c r="G37" s="604"/>
      <c r="H37" s="604"/>
      <c r="I37" s="604"/>
      <c r="J37" s="605"/>
      <c r="K37" s="80"/>
      <c r="L37" s="12" t="e">
        <f>#REF!</f>
        <v>#REF!</v>
      </c>
    </row>
    <row r="38" spans="2:20">
      <c r="B38" s="8" t="s">
        <v>6</v>
      </c>
      <c r="C38" s="603" t="e">
        <f>#REF!</f>
        <v>#REF!</v>
      </c>
      <c r="D38" s="604"/>
      <c r="E38" s="604"/>
      <c r="F38" s="604"/>
      <c r="G38" s="604"/>
      <c r="H38" s="604"/>
      <c r="I38" s="604"/>
      <c r="J38" s="605"/>
      <c r="K38" s="80"/>
      <c r="L38" s="12" t="e">
        <f>#REF!</f>
        <v>#REF!</v>
      </c>
    </row>
    <row r="39" spans="2:20">
      <c r="B39" s="8" t="s">
        <v>10</v>
      </c>
      <c r="C39" s="603" t="e">
        <f>#REF!</f>
        <v>#REF!</v>
      </c>
      <c r="D39" s="604"/>
      <c r="E39" s="604"/>
      <c r="F39" s="604"/>
      <c r="G39" s="604"/>
      <c r="H39" s="604"/>
      <c r="I39" s="604"/>
      <c r="J39" s="605"/>
      <c r="K39" s="80"/>
      <c r="L39" s="12" t="e">
        <f>#REF!</f>
        <v>#REF!</v>
      </c>
    </row>
    <row r="40" spans="2:20">
      <c r="B40" s="79" t="s">
        <v>12</v>
      </c>
      <c r="C40" s="603" t="e">
        <f>#REF!</f>
        <v>#REF!</v>
      </c>
      <c r="D40" s="604"/>
      <c r="E40" s="604"/>
      <c r="F40" s="604"/>
      <c r="G40" s="604"/>
      <c r="H40" s="604"/>
      <c r="I40" s="604"/>
      <c r="J40" s="605"/>
      <c r="K40" s="80"/>
      <c r="L40" s="12" t="e">
        <f>#REF!</f>
        <v>#REF!</v>
      </c>
    </row>
    <row r="41" spans="2:20">
      <c r="B41" s="79" t="s">
        <v>14</v>
      </c>
      <c r="C41" s="603" t="e">
        <f>#REF!</f>
        <v>#REF!</v>
      </c>
      <c r="D41" s="604"/>
      <c r="E41" s="604"/>
      <c r="F41" s="604"/>
      <c r="G41" s="604"/>
      <c r="H41" s="604"/>
      <c r="I41" s="604"/>
      <c r="J41" s="605"/>
      <c r="K41" s="81"/>
      <c r="L41" s="12" t="e">
        <f>#REF!</f>
        <v>#REF!</v>
      </c>
    </row>
    <row r="42" spans="2:20">
      <c r="B42" s="79" t="s">
        <v>1</v>
      </c>
      <c r="C42" s="603" t="e">
        <f>#REF!</f>
        <v>#REF!</v>
      </c>
      <c r="D42" s="604"/>
      <c r="E42" s="604"/>
      <c r="F42" s="604"/>
      <c r="G42" s="604"/>
      <c r="H42" s="604"/>
      <c r="I42" s="604"/>
      <c r="J42" s="605"/>
      <c r="K42" s="82"/>
      <c r="L42" s="12" t="e">
        <f>#REF!</f>
        <v>#REF!</v>
      </c>
    </row>
    <row r="43" spans="2:20">
      <c r="B43" s="79" t="s">
        <v>15</v>
      </c>
      <c r="C43" s="603" t="e">
        <f>#REF!</f>
        <v>#REF!</v>
      </c>
      <c r="D43" s="604"/>
      <c r="E43" s="604"/>
      <c r="F43" s="604"/>
      <c r="G43" s="604"/>
      <c r="H43" s="604"/>
      <c r="I43" s="604"/>
      <c r="J43" s="605"/>
      <c r="K43" s="82"/>
      <c r="L43" s="12" t="e">
        <f>#REF!</f>
        <v>#REF!</v>
      </c>
    </row>
    <row r="44" spans="2:20">
      <c r="B44" s="79" t="s">
        <v>16</v>
      </c>
      <c r="C44" s="620" t="s">
        <v>0</v>
      </c>
      <c r="D44" s="620"/>
      <c r="E44" s="620"/>
      <c r="F44" s="620"/>
      <c r="G44" s="620"/>
      <c r="H44" s="620"/>
      <c r="I44" s="620"/>
      <c r="J44" s="620"/>
      <c r="K44" s="620"/>
      <c r="L44" s="19">
        <v>0</v>
      </c>
    </row>
    <row r="45" spans="2:20">
      <c r="B45" s="614" t="s">
        <v>172</v>
      </c>
      <c r="C45" s="615"/>
      <c r="D45" s="615"/>
      <c r="E45" s="615"/>
      <c r="F45" s="615"/>
      <c r="G45" s="615"/>
      <c r="H45" s="615"/>
      <c r="I45" s="615"/>
      <c r="J45" s="616"/>
      <c r="K45" s="34"/>
      <c r="L45" s="12" t="e">
        <f>SUM(L37:L44)</f>
        <v>#REF!</v>
      </c>
    </row>
    <row r="46" spans="2:20">
      <c r="B46" s="93"/>
      <c r="C46" s="94"/>
      <c r="D46" s="94"/>
      <c r="E46" s="94"/>
      <c r="F46" s="94"/>
      <c r="G46" s="94"/>
      <c r="H46" s="94"/>
      <c r="I46" s="94"/>
      <c r="J46" s="95"/>
      <c r="K46" s="34"/>
      <c r="L46" s="12"/>
    </row>
    <row r="47" spans="2:20">
      <c r="B47" s="602" t="s">
        <v>173</v>
      </c>
      <c r="C47" s="602"/>
      <c r="D47" s="602"/>
      <c r="E47" s="602"/>
      <c r="F47" s="602"/>
      <c r="G47" s="602"/>
      <c r="H47" s="602"/>
      <c r="I47" s="602"/>
      <c r="J47" s="602"/>
      <c r="K47" s="602"/>
      <c r="L47" s="7" t="str">
        <f>L5</f>
        <v>SERVENTE</v>
      </c>
    </row>
    <row r="48" spans="2:20">
      <c r="B48" s="90" t="s">
        <v>174</v>
      </c>
      <c r="C48" s="603" t="s">
        <v>177</v>
      </c>
      <c r="D48" s="604"/>
      <c r="E48" s="604"/>
      <c r="F48" s="604"/>
      <c r="G48" s="604"/>
      <c r="H48" s="604"/>
      <c r="I48" s="604"/>
      <c r="J48" s="605"/>
      <c r="K48" s="80"/>
      <c r="L48" s="12" t="e">
        <f>L23</f>
        <v>#REF!</v>
      </c>
    </row>
    <row r="49" spans="2:12">
      <c r="B49" s="90" t="s">
        <v>175</v>
      </c>
      <c r="C49" s="603" t="s">
        <v>178</v>
      </c>
      <c r="D49" s="604"/>
      <c r="E49" s="604"/>
      <c r="F49" s="604"/>
      <c r="G49" s="604"/>
      <c r="H49" s="604"/>
      <c r="I49" s="604"/>
      <c r="J49" s="605"/>
      <c r="K49" s="80"/>
      <c r="L49" s="12" t="e">
        <f>L34</f>
        <v>#REF!</v>
      </c>
    </row>
    <row r="50" spans="2:12">
      <c r="B50" s="90" t="s">
        <v>176</v>
      </c>
      <c r="C50" s="603" t="s">
        <v>180</v>
      </c>
      <c r="D50" s="604"/>
      <c r="E50" s="604"/>
      <c r="F50" s="604"/>
      <c r="G50" s="604"/>
      <c r="H50" s="604"/>
      <c r="I50" s="604"/>
      <c r="J50" s="605"/>
      <c r="K50" s="80"/>
      <c r="L50" s="12" t="e">
        <f>L45</f>
        <v>#REF!</v>
      </c>
    </row>
    <row r="51" spans="2:12">
      <c r="B51" s="606" t="s">
        <v>179</v>
      </c>
      <c r="C51" s="607"/>
      <c r="D51" s="607"/>
      <c r="E51" s="607"/>
      <c r="F51" s="607"/>
      <c r="G51" s="607"/>
      <c r="H51" s="607"/>
      <c r="I51" s="607"/>
      <c r="J51" s="608"/>
      <c r="K51" s="101"/>
      <c r="L51" s="102" t="e">
        <f>SUM(L48:L50)</f>
        <v>#REF!</v>
      </c>
    </row>
    <row r="52" spans="2:12">
      <c r="B52" s="609"/>
      <c r="C52" s="610"/>
      <c r="D52" s="610"/>
      <c r="E52" s="610"/>
      <c r="F52" s="610"/>
      <c r="G52" s="610"/>
      <c r="H52" s="610"/>
      <c r="I52" s="610"/>
      <c r="J52" s="610"/>
      <c r="K52" s="610"/>
      <c r="L52" s="610"/>
    </row>
    <row r="53" spans="2:12">
      <c r="B53" s="611" t="s">
        <v>171</v>
      </c>
      <c r="C53" s="611"/>
      <c r="D53" s="611"/>
      <c r="E53" s="611"/>
      <c r="F53" s="611"/>
      <c r="G53" s="611"/>
      <c r="H53" s="611"/>
      <c r="I53" s="611"/>
      <c r="J53" s="611"/>
      <c r="K53" s="97" t="s">
        <v>9</v>
      </c>
      <c r="L53" s="98" t="s">
        <v>166</v>
      </c>
    </row>
    <row r="54" spans="2:12">
      <c r="B54" s="8" t="s">
        <v>4</v>
      </c>
      <c r="C54" s="617" t="s">
        <v>26</v>
      </c>
      <c r="D54" s="617"/>
      <c r="E54" s="617"/>
      <c r="F54" s="617"/>
      <c r="G54" s="617"/>
      <c r="H54" s="617"/>
      <c r="I54" s="38">
        <v>30</v>
      </c>
      <c r="J54" s="39">
        <v>0.05</v>
      </c>
      <c r="K54" s="34">
        <f>I54/30/12*J54</f>
        <v>4.1666666666666666E-3</v>
      </c>
      <c r="L54" s="12" t="e">
        <f t="shared" ref="L54:L59" si="0">ROUND(K54*$L$17,2)</f>
        <v>#REF!</v>
      </c>
    </row>
    <row r="55" spans="2:12">
      <c r="B55" s="8" t="s">
        <v>6</v>
      </c>
      <c r="C55" s="617" t="s">
        <v>27</v>
      </c>
      <c r="D55" s="617"/>
      <c r="E55" s="617"/>
      <c r="F55" s="617"/>
      <c r="G55" s="617"/>
      <c r="H55" s="617"/>
      <c r="I55" s="617"/>
      <c r="J55" s="617"/>
      <c r="K55" s="34">
        <f>K31*K54</f>
        <v>3.703703703703703E-4</v>
      </c>
      <c r="L55" s="12" t="e">
        <f t="shared" si="0"/>
        <v>#REF!</v>
      </c>
    </row>
    <row r="56" spans="2:12">
      <c r="B56" s="90" t="s">
        <v>10</v>
      </c>
      <c r="C56" s="617" t="s">
        <v>182</v>
      </c>
      <c r="D56" s="617"/>
      <c r="E56" s="617"/>
      <c r="F56" s="617"/>
      <c r="G56" s="617"/>
      <c r="H56" s="617"/>
      <c r="I56" s="617"/>
      <c r="J56" s="617"/>
      <c r="K56" s="34">
        <f>0.5*K55</f>
        <v>1.8518518518518515E-4</v>
      </c>
      <c r="L56" s="12" t="e">
        <f t="shared" si="0"/>
        <v>#REF!</v>
      </c>
    </row>
    <row r="57" spans="2:12">
      <c r="B57" s="90" t="s">
        <v>12</v>
      </c>
      <c r="C57" s="617" t="s">
        <v>184</v>
      </c>
      <c r="D57" s="617"/>
      <c r="E57" s="617"/>
      <c r="F57" s="617"/>
      <c r="G57" s="617"/>
      <c r="H57" s="617"/>
      <c r="I57" s="617"/>
      <c r="J57" s="617"/>
      <c r="K57" s="34">
        <v>4.0000000000000002E-4</v>
      </c>
      <c r="L57" s="12" t="e">
        <f t="shared" si="0"/>
        <v>#REF!</v>
      </c>
    </row>
    <row r="58" spans="2:12">
      <c r="B58" s="90" t="s">
        <v>14</v>
      </c>
      <c r="C58" s="617" t="s">
        <v>183</v>
      </c>
      <c r="D58" s="617"/>
      <c r="E58" s="617"/>
      <c r="F58" s="617"/>
      <c r="G58" s="617"/>
      <c r="H58" s="617"/>
      <c r="I58" s="617"/>
      <c r="J58" s="617"/>
      <c r="K58" s="34">
        <f>K34*K57</f>
        <v>1.5075555555555558E-4</v>
      </c>
      <c r="L58" s="12" t="e">
        <f t="shared" si="0"/>
        <v>#REF!</v>
      </c>
    </row>
    <row r="59" spans="2:12">
      <c r="B59" s="90" t="s">
        <v>1</v>
      </c>
      <c r="C59" s="617" t="s">
        <v>185</v>
      </c>
      <c r="D59" s="617"/>
      <c r="E59" s="617"/>
      <c r="F59" s="617"/>
      <c r="G59" s="617"/>
      <c r="H59" s="617"/>
      <c r="I59" s="617"/>
      <c r="J59" s="617"/>
      <c r="K59" s="96">
        <f>0.5*0.08*K57</f>
        <v>1.6000000000000003E-5</v>
      </c>
      <c r="L59" s="12" t="e">
        <f t="shared" si="0"/>
        <v>#REF!</v>
      </c>
    </row>
    <row r="60" spans="2:12" ht="15" customHeight="1">
      <c r="B60" s="606" t="s">
        <v>181</v>
      </c>
      <c r="C60" s="607"/>
      <c r="D60" s="607"/>
      <c r="E60" s="607"/>
      <c r="F60" s="607"/>
      <c r="G60" s="607"/>
      <c r="H60" s="607"/>
      <c r="I60" s="607"/>
      <c r="J60" s="608"/>
      <c r="K60" s="101"/>
      <c r="L60" s="102" t="e">
        <f>SUM(L54:L59)</f>
        <v>#REF!</v>
      </c>
    </row>
    <row r="61" spans="2:12">
      <c r="B61" s="20"/>
      <c r="C61" s="16"/>
      <c r="D61" s="16"/>
      <c r="E61" s="20"/>
      <c r="F61" s="20"/>
      <c r="G61" s="20"/>
      <c r="H61" s="20"/>
      <c r="I61" s="21"/>
      <c r="J61" s="22"/>
      <c r="K61" s="20"/>
    </row>
    <row r="62" spans="2:12">
      <c r="B62" s="611" t="s">
        <v>186</v>
      </c>
      <c r="C62" s="611"/>
      <c r="D62" s="611"/>
      <c r="E62" s="611"/>
      <c r="F62" s="611"/>
      <c r="G62" s="611"/>
      <c r="H62" s="611"/>
      <c r="I62" s="611"/>
      <c r="J62" s="611"/>
      <c r="K62" s="97"/>
      <c r="L62" s="98"/>
    </row>
    <row r="63" spans="2:12">
      <c r="B63" s="612" t="s">
        <v>191</v>
      </c>
      <c r="C63" s="613"/>
      <c r="D63" s="613"/>
      <c r="E63" s="613"/>
      <c r="F63" s="613"/>
      <c r="G63" s="613"/>
      <c r="H63" s="613"/>
      <c r="I63" s="613"/>
      <c r="J63" s="613"/>
      <c r="K63" s="92" t="s">
        <v>9</v>
      </c>
      <c r="L63" s="12" t="s">
        <v>166</v>
      </c>
    </row>
    <row r="64" spans="2:12">
      <c r="B64" s="8" t="s">
        <v>4</v>
      </c>
      <c r="C64" s="629" t="s">
        <v>187</v>
      </c>
      <c r="D64" s="629"/>
      <c r="E64" s="629"/>
      <c r="F64" s="629"/>
      <c r="G64" s="629"/>
      <c r="H64" s="629"/>
      <c r="I64" s="629"/>
      <c r="J64" s="629"/>
      <c r="K64" s="41">
        <f>1/12</f>
        <v>8.3333333333333329E-2</v>
      </c>
      <c r="L64" s="12" t="e">
        <f t="shared" ref="L64:L69" si="1">K64*$L$17</f>
        <v>#REF!</v>
      </c>
    </row>
    <row r="65" spans="2:13">
      <c r="B65" s="8" t="s">
        <v>6</v>
      </c>
      <c r="C65" s="617" t="s">
        <v>188</v>
      </c>
      <c r="D65" s="617"/>
      <c r="E65" s="617"/>
      <c r="F65" s="617"/>
      <c r="G65" s="640" t="s">
        <v>29</v>
      </c>
      <c r="H65" s="640"/>
      <c r="I65" s="640"/>
      <c r="J65" s="42">
        <v>3</v>
      </c>
      <c r="K65" s="41">
        <f>J65/30/12</f>
        <v>8.3333333333333332E-3</v>
      </c>
      <c r="L65" s="12" t="e">
        <f t="shared" si="1"/>
        <v>#REF!</v>
      </c>
      <c r="M65" s="1" t="s">
        <v>168</v>
      </c>
    </row>
    <row r="66" spans="2:13">
      <c r="B66" s="8" t="s">
        <v>10</v>
      </c>
      <c r="C66" s="617" t="s">
        <v>30</v>
      </c>
      <c r="D66" s="617"/>
      <c r="E66" s="617"/>
      <c r="F66" s="617"/>
      <c r="G66" s="640" t="s">
        <v>28</v>
      </c>
      <c r="H66" s="640"/>
      <c r="I66" s="36">
        <v>1.4999999999999999E-2</v>
      </c>
      <c r="J66" s="43">
        <v>5</v>
      </c>
      <c r="K66" s="41">
        <f>J66/30/12*I66</f>
        <v>2.0833333333333332E-4</v>
      </c>
      <c r="L66" s="12" t="e">
        <f t="shared" si="1"/>
        <v>#REF!</v>
      </c>
    </row>
    <row r="67" spans="2:13">
      <c r="B67" s="8" t="s">
        <v>12</v>
      </c>
      <c r="C67" s="640" t="s">
        <v>189</v>
      </c>
      <c r="D67" s="640"/>
      <c r="E67" s="640"/>
      <c r="F67" s="42"/>
      <c r="G67" s="640" t="s">
        <v>28</v>
      </c>
      <c r="H67" s="640"/>
      <c r="I67" s="36">
        <v>7.7999999999999996E-3</v>
      </c>
      <c r="J67" s="44">
        <v>15</v>
      </c>
      <c r="K67" s="41">
        <f>J67/30/12*I67</f>
        <v>3.2499999999999999E-4</v>
      </c>
      <c r="L67" s="12" t="e">
        <f t="shared" si="1"/>
        <v>#REF!</v>
      </c>
    </row>
    <row r="68" spans="2:13">
      <c r="B68" s="8" t="s">
        <v>14</v>
      </c>
      <c r="C68" s="640" t="s">
        <v>190</v>
      </c>
      <c r="D68" s="640"/>
      <c r="E68" s="640"/>
      <c r="F68" s="42"/>
      <c r="G68" s="641"/>
      <c r="H68" s="640"/>
      <c r="I68" s="36"/>
      <c r="J68" s="44"/>
      <c r="K68" s="41">
        <v>6.1000000000000004E-3</v>
      </c>
      <c r="L68" s="12" t="e">
        <f t="shared" si="1"/>
        <v>#REF!</v>
      </c>
      <c r="M68" s="64" t="s">
        <v>168</v>
      </c>
    </row>
    <row r="69" spans="2:13">
      <c r="B69" s="8" t="s">
        <v>1</v>
      </c>
      <c r="C69" s="620" t="s">
        <v>0</v>
      </c>
      <c r="D69" s="620"/>
      <c r="E69" s="620" t="s">
        <v>31</v>
      </c>
      <c r="F69" s="620"/>
      <c r="G69" s="620"/>
      <c r="H69" s="620"/>
      <c r="I69" s="620"/>
      <c r="J69" s="620"/>
      <c r="K69" s="45"/>
      <c r="L69" s="12" t="e">
        <f t="shared" si="1"/>
        <v>#REF!</v>
      </c>
      <c r="M69" s="64"/>
    </row>
    <row r="70" spans="2:13">
      <c r="B70" s="614" t="s">
        <v>192</v>
      </c>
      <c r="C70" s="615"/>
      <c r="D70" s="615"/>
      <c r="E70" s="615"/>
      <c r="F70" s="615"/>
      <c r="G70" s="615"/>
      <c r="H70" s="615"/>
      <c r="I70" s="615"/>
      <c r="J70" s="616"/>
      <c r="K70" s="46"/>
      <c r="L70" s="12" t="e">
        <f>SUM(L64:L69)</f>
        <v>#REF!</v>
      </c>
    </row>
    <row r="71" spans="2:13">
      <c r="B71" s="93"/>
      <c r="C71" s="94"/>
      <c r="D71" s="94"/>
      <c r="E71" s="94"/>
      <c r="F71" s="94"/>
      <c r="G71" s="94"/>
      <c r="H71" s="94"/>
      <c r="I71" s="94"/>
      <c r="J71" s="95"/>
      <c r="K71" s="34"/>
      <c r="L71" s="12"/>
    </row>
    <row r="72" spans="2:13">
      <c r="B72" s="612" t="s">
        <v>193</v>
      </c>
      <c r="C72" s="613"/>
      <c r="D72" s="613"/>
      <c r="E72" s="613"/>
      <c r="F72" s="613"/>
      <c r="G72" s="613"/>
      <c r="H72" s="613"/>
      <c r="I72" s="613"/>
      <c r="J72" s="613"/>
      <c r="K72" s="92" t="s">
        <v>9</v>
      </c>
      <c r="L72" s="12" t="s">
        <v>166</v>
      </c>
    </row>
    <row r="73" spans="2:13">
      <c r="B73" s="90" t="s">
        <v>4</v>
      </c>
      <c r="C73" s="629" t="s">
        <v>194</v>
      </c>
      <c r="D73" s="629"/>
      <c r="E73" s="629"/>
      <c r="F73" s="629"/>
      <c r="G73" s="629"/>
      <c r="H73" s="629"/>
      <c r="I73" s="629"/>
      <c r="J73" s="629"/>
      <c r="K73" s="41">
        <v>0</v>
      </c>
      <c r="L73" s="12" t="e">
        <f>K73*$L$17</f>
        <v>#REF!</v>
      </c>
    </row>
    <row r="74" spans="2:13">
      <c r="B74" s="614" t="s">
        <v>195</v>
      </c>
      <c r="C74" s="615"/>
      <c r="D74" s="615"/>
      <c r="E74" s="615"/>
      <c r="F74" s="615"/>
      <c r="G74" s="615"/>
      <c r="H74" s="615"/>
      <c r="I74" s="615"/>
      <c r="J74" s="616"/>
      <c r="K74" s="46"/>
      <c r="L74" s="12" t="e">
        <f>SUM(L73:L73)</f>
        <v>#REF!</v>
      </c>
    </row>
    <row r="75" spans="2:13">
      <c r="B75" s="93"/>
      <c r="C75" s="94"/>
      <c r="D75" s="94"/>
      <c r="E75" s="94"/>
      <c r="F75" s="94"/>
      <c r="G75" s="94"/>
      <c r="H75" s="94"/>
      <c r="I75" s="94"/>
      <c r="J75" s="94"/>
      <c r="K75" s="99"/>
      <c r="L75" s="12"/>
    </row>
    <row r="76" spans="2:13">
      <c r="B76" s="602" t="s">
        <v>196</v>
      </c>
      <c r="C76" s="602"/>
      <c r="D76" s="602"/>
      <c r="E76" s="602"/>
      <c r="F76" s="602"/>
      <c r="G76" s="602"/>
      <c r="H76" s="602"/>
      <c r="I76" s="602"/>
      <c r="J76" s="602"/>
      <c r="K76" s="602"/>
      <c r="L76" s="7" t="e">
        <f>L34</f>
        <v>#REF!</v>
      </c>
    </row>
    <row r="77" spans="2:13">
      <c r="B77" s="90" t="s">
        <v>197</v>
      </c>
      <c r="C77" s="603" t="s">
        <v>188</v>
      </c>
      <c r="D77" s="604"/>
      <c r="E77" s="604"/>
      <c r="F77" s="604"/>
      <c r="G77" s="604"/>
      <c r="H77" s="604"/>
      <c r="I77" s="604"/>
      <c r="J77" s="605"/>
      <c r="K77" s="80"/>
      <c r="L77" s="12" t="e">
        <f>L70</f>
        <v>#REF!</v>
      </c>
    </row>
    <row r="78" spans="2:13">
      <c r="B78" s="90" t="s">
        <v>198</v>
      </c>
      <c r="C78" s="603" t="s">
        <v>199</v>
      </c>
      <c r="D78" s="604"/>
      <c r="E78" s="604"/>
      <c r="F78" s="604"/>
      <c r="G78" s="604"/>
      <c r="H78" s="604"/>
      <c r="I78" s="604"/>
      <c r="J78" s="605"/>
      <c r="K78" s="80"/>
      <c r="L78" s="12" t="e">
        <f>L74</f>
        <v>#REF!</v>
      </c>
    </row>
    <row r="79" spans="2:13">
      <c r="B79" s="606" t="s">
        <v>200</v>
      </c>
      <c r="C79" s="607"/>
      <c r="D79" s="607"/>
      <c r="E79" s="607"/>
      <c r="F79" s="607"/>
      <c r="G79" s="607"/>
      <c r="H79" s="607"/>
      <c r="I79" s="607"/>
      <c r="J79" s="608"/>
      <c r="K79" s="101"/>
      <c r="L79" s="102" t="e">
        <f>SUM(L77:L78)</f>
        <v>#REF!</v>
      </c>
    </row>
    <row r="80" spans="2:13">
      <c r="B80" s="609"/>
      <c r="C80" s="610"/>
      <c r="D80" s="610"/>
      <c r="E80" s="610"/>
      <c r="F80" s="610"/>
      <c r="G80" s="610"/>
      <c r="H80" s="610"/>
      <c r="I80" s="610"/>
      <c r="J80" s="610"/>
      <c r="K80" s="610"/>
      <c r="L80" s="610"/>
    </row>
    <row r="81" spans="2:13">
      <c r="B81" s="611" t="s">
        <v>201</v>
      </c>
      <c r="C81" s="611"/>
      <c r="D81" s="611"/>
      <c r="E81" s="611"/>
      <c r="F81" s="611"/>
      <c r="G81" s="611"/>
      <c r="H81" s="611"/>
      <c r="I81" s="611"/>
      <c r="J81" s="611"/>
      <c r="K81" s="97"/>
      <c r="L81" s="98"/>
      <c r="M81" s="23"/>
    </row>
    <row r="82" spans="2:13">
      <c r="B82" s="8" t="s">
        <v>4</v>
      </c>
      <c r="C82" s="630" t="s">
        <v>54</v>
      </c>
      <c r="D82" s="630"/>
      <c r="E82" s="630"/>
      <c r="F82" s="630"/>
      <c r="G82" s="630"/>
      <c r="H82" s="630"/>
      <c r="I82" s="630"/>
      <c r="J82" s="630"/>
      <c r="K82" s="630"/>
      <c r="L82" s="12" t="e">
        <f>#REF!</f>
        <v>#REF!</v>
      </c>
    </row>
    <row r="83" spans="2:13">
      <c r="B83" s="8" t="s">
        <v>6</v>
      </c>
      <c r="C83" s="631" t="s">
        <v>203</v>
      </c>
      <c r="D83" s="632"/>
      <c r="E83" s="633" t="s">
        <v>55</v>
      </c>
      <c r="F83" s="634"/>
      <c r="G83" s="634"/>
      <c r="H83" s="634"/>
      <c r="I83" s="635"/>
      <c r="J83" s="636">
        <v>0.12</v>
      </c>
      <c r="K83" s="637"/>
      <c r="L83" s="19" t="e">
        <f>(L17+L51+L60+L79+L82)/(1-J83)*J83</f>
        <v>#REF!</v>
      </c>
      <c r="M83" s="24"/>
    </row>
    <row r="84" spans="2:13">
      <c r="B84" s="91" t="s">
        <v>210</v>
      </c>
      <c r="C84" s="631" t="s">
        <v>211</v>
      </c>
      <c r="D84" s="632"/>
      <c r="E84" s="633"/>
      <c r="F84" s="634"/>
      <c r="G84" s="634"/>
      <c r="H84" s="634"/>
      <c r="I84" s="635"/>
      <c r="J84" s="657">
        <f>H95+H96</f>
        <v>9.2499999999999999E-2</v>
      </c>
      <c r="K84" s="658"/>
      <c r="L84" s="19" t="e">
        <f>-J84*L83</f>
        <v>#REF!</v>
      </c>
      <c r="M84" s="24"/>
    </row>
    <row r="85" spans="2:13">
      <c r="B85" s="90" t="s">
        <v>10</v>
      </c>
      <c r="C85" s="83" t="s">
        <v>202</v>
      </c>
      <c r="D85" s="84"/>
      <c r="E85" s="85"/>
      <c r="F85" s="86"/>
      <c r="G85" s="86"/>
      <c r="H85" s="86"/>
      <c r="I85" s="87"/>
      <c r="J85" s="88"/>
      <c r="K85" s="89"/>
      <c r="L85" s="19"/>
      <c r="M85" s="24"/>
    </row>
    <row r="86" spans="2:13">
      <c r="B86" s="8" t="s">
        <v>204</v>
      </c>
      <c r="C86" s="620" t="s">
        <v>0</v>
      </c>
      <c r="D86" s="620"/>
      <c r="E86" s="620"/>
      <c r="F86" s="620"/>
      <c r="G86" s="620"/>
      <c r="H86" s="620"/>
      <c r="I86" s="620"/>
      <c r="J86" s="620"/>
      <c r="K86" s="620"/>
      <c r="L86" s="19">
        <v>0</v>
      </c>
    </row>
    <row r="87" spans="2:13">
      <c r="B87" s="606" t="s">
        <v>207</v>
      </c>
      <c r="C87" s="607"/>
      <c r="D87" s="607"/>
      <c r="E87" s="607"/>
      <c r="F87" s="607"/>
      <c r="G87" s="607"/>
      <c r="H87" s="607"/>
      <c r="I87" s="607"/>
      <c r="J87" s="608"/>
      <c r="K87" s="101"/>
      <c r="L87" s="102" t="e">
        <f>SUM(L82:L86)</f>
        <v>#REF!</v>
      </c>
    </row>
    <row r="88" spans="2:13">
      <c r="B88" s="25"/>
      <c r="C88" s="25"/>
      <c r="D88" s="25"/>
      <c r="E88" s="25"/>
      <c r="F88" s="25"/>
      <c r="G88" s="25"/>
      <c r="H88" s="25"/>
      <c r="I88" s="26"/>
      <c r="J88" s="25"/>
      <c r="K88" s="25"/>
    </row>
    <row r="89" spans="2:13">
      <c r="B89" s="16"/>
      <c r="C89" s="16"/>
      <c r="D89" s="16"/>
      <c r="E89" s="16"/>
      <c r="F89" s="16"/>
      <c r="G89" s="16"/>
      <c r="H89" s="48"/>
      <c r="I89" s="48"/>
      <c r="J89" s="48"/>
      <c r="K89" s="48"/>
      <c r="L89" s="49"/>
    </row>
    <row r="90" spans="2:13">
      <c r="B90" s="611" t="s">
        <v>205</v>
      </c>
      <c r="C90" s="611"/>
      <c r="D90" s="611"/>
      <c r="E90" s="611"/>
      <c r="F90" s="611"/>
      <c r="G90" s="611"/>
      <c r="H90" s="611"/>
      <c r="I90" s="611"/>
      <c r="J90" s="611"/>
      <c r="K90" s="97"/>
      <c r="L90" s="98" t="str">
        <f>L5</f>
        <v>SERVENTE</v>
      </c>
    </row>
    <row r="91" spans="2:13">
      <c r="B91" s="8" t="s">
        <v>4</v>
      </c>
      <c r="C91" s="629" t="s">
        <v>206</v>
      </c>
      <c r="D91" s="629"/>
      <c r="E91" s="629"/>
      <c r="F91" s="629"/>
      <c r="G91" s="629"/>
      <c r="H91" s="629"/>
      <c r="I91" s="629"/>
      <c r="J91" s="629"/>
      <c r="K91" s="65">
        <v>0.05</v>
      </c>
      <c r="L91" s="28" t="e">
        <f>K91*L110</f>
        <v>#REF!</v>
      </c>
      <c r="M91" s="50"/>
    </row>
    <row r="92" spans="2:13">
      <c r="B92" s="8" t="s">
        <v>6</v>
      </c>
      <c r="C92" s="629" t="s">
        <v>32</v>
      </c>
      <c r="D92" s="629"/>
      <c r="E92" s="629"/>
      <c r="F92" s="629"/>
      <c r="G92" s="629"/>
      <c r="H92" s="629"/>
      <c r="I92" s="629"/>
      <c r="J92" s="629"/>
      <c r="K92" s="65">
        <v>6.8099999999999994E-2</v>
      </c>
      <c r="L92" s="28" t="e">
        <f>K92*L110</f>
        <v>#REF!</v>
      </c>
      <c r="M92" s="50"/>
    </row>
    <row r="93" spans="2:13">
      <c r="B93" s="645" t="s">
        <v>10</v>
      </c>
      <c r="C93" s="646" t="s">
        <v>33</v>
      </c>
      <c r="D93" s="647"/>
      <c r="E93" s="647"/>
      <c r="F93" s="647"/>
      <c r="G93" s="647"/>
      <c r="H93" s="647"/>
      <c r="I93" s="648"/>
      <c r="J93" s="649" t="e">
        <f>L110+L91+L92</f>
        <v>#REF!</v>
      </c>
      <c r="K93" s="650"/>
      <c r="L93" s="47"/>
    </row>
    <row r="94" spans="2:13">
      <c r="B94" s="645"/>
      <c r="C94" s="651" t="s">
        <v>34</v>
      </c>
      <c r="D94" s="652"/>
      <c r="E94" s="652"/>
      <c r="F94" s="653"/>
      <c r="G94" s="40"/>
      <c r="H94" s="40" t="s">
        <v>35</v>
      </c>
      <c r="I94" s="40"/>
      <c r="J94" s="654"/>
      <c r="K94" s="655"/>
      <c r="L94" s="47"/>
    </row>
    <row r="95" spans="2:13">
      <c r="B95" s="645"/>
      <c r="C95" s="642" t="s">
        <v>36</v>
      </c>
      <c r="D95" s="642"/>
      <c r="E95" s="642"/>
      <c r="F95" s="642"/>
      <c r="G95" s="66" t="s">
        <v>37</v>
      </c>
      <c r="H95" s="35">
        <v>1.6500000000000001E-2</v>
      </c>
      <c r="I95" s="656">
        <f>SUM(H95:H100)</f>
        <v>0.13250000000000001</v>
      </c>
      <c r="J95" s="643" t="e">
        <f t="shared" ref="J95:J100" si="2">ROUND($L$112*H95,2)</f>
        <v>#REF!</v>
      </c>
      <c r="K95" s="644"/>
      <c r="L95" s="671" t="e">
        <f>SUM(J95:K100)</f>
        <v>#REF!</v>
      </c>
    </row>
    <row r="96" spans="2:13">
      <c r="B96" s="645"/>
      <c r="C96" s="642"/>
      <c r="D96" s="642"/>
      <c r="E96" s="642"/>
      <c r="F96" s="642"/>
      <c r="G96" s="66" t="s">
        <v>38</v>
      </c>
      <c r="H96" s="35">
        <v>7.5999999999999998E-2</v>
      </c>
      <c r="I96" s="656"/>
      <c r="J96" s="643" t="e">
        <f t="shared" si="2"/>
        <v>#REF!</v>
      </c>
      <c r="K96" s="644"/>
      <c r="L96" s="672"/>
    </row>
    <row r="97" spans="2:12">
      <c r="B97" s="645"/>
      <c r="C97" s="642"/>
      <c r="D97" s="642"/>
      <c r="E97" s="642"/>
      <c r="F97" s="642"/>
      <c r="G97" s="66" t="s">
        <v>39</v>
      </c>
      <c r="H97" s="35">
        <v>0</v>
      </c>
      <c r="I97" s="656"/>
      <c r="J97" s="643" t="e">
        <f t="shared" si="2"/>
        <v>#REF!</v>
      </c>
      <c r="K97" s="644"/>
      <c r="L97" s="672"/>
    </row>
    <row r="98" spans="2:12">
      <c r="B98" s="645"/>
      <c r="C98" s="642" t="s">
        <v>40</v>
      </c>
      <c r="D98" s="642"/>
      <c r="E98" s="642"/>
      <c r="F98" s="642"/>
      <c r="G98" s="67" t="s">
        <v>41</v>
      </c>
      <c r="H98" s="35">
        <v>0.04</v>
      </c>
      <c r="I98" s="656"/>
      <c r="J98" s="643" t="e">
        <f t="shared" si="2"/>
        <v>#REF!</v>
      </c>
      <c r="K98" s="644"/>
      <c r="L98" s="672"/>
    </row>
    <row r="99" spans="2:12">
      <c r="B99" s="645"/>
      <c r="C99" s="642"/>
      <c r="D99" s="642"/>
      <c r="E99" s="642"/>
      <c r="F99" s="642"/>
      <c r="G99" s="67" t="s">
        <v>39</v>
      </c>
      <c r="H99" s="35">
        <v>0</v>
      </c>
      <c r="I99" s="656"/>
      <c r="J99" s="643" t="e">
        <f t="shared" si="2"/>
        <v>#REF!</v>
      </c>
      <c r="K99" s="644"/>
      <c r="L99" s="672"/>
    </row>
    <row r="100" spans="2:12">
      <c r="B100" s="645"/>
      <c r="C100" s="642" t="s">
        <v>42</v>
      </c>
      <c r="D100" s="642"/>
      <c r="E100" s="642"/>
      <c r="F100" s="642"/>
      <c r="G100" s="67"/>
      <c r="H100" s="35">
        <v>0</v>
      </c>
      <c r="I100" s="656"/>
      <c r="J100" s="643" t="e">
        <f t="shared" si="2"/>
        <v>#REF!</v>
      </c>
      <c r="K100" s="644"/>
      <c r="L100" s="673"/>
    </row>
    <row r="101" spans="2:12">
      <c r="B101" s="645" t="s">
        <v>43</v>
      </c>
      <c r="C101" s="645"/>
      <c r="D101" s="645"/>
      <c r="E101" s="645"/>
      <c r="F101" s="645"/>
      <c r="G101" s="645"/>
      <c r="H101" s="645"/>
      <c r="I101" s="645"/>
      <c r="J101" s="645"/>
      <c r="K101" s="645"/>
      <c r="L101" s="60" t="e">
        <f>L95+L92+L91</f>
        <v>#REF!</v>
      </c>
    </row>
    <row r="102" spans="2:12">
      <c r="B102" s="51"/>
      <c r="C102" s="51"/>
      <c r="D102" s="51"/>
      <c r="E102" s="51"/>
      <c r="F102" s="51"/>
      <c r="G102" s="51"/>
      <c r="H102" s="51"/>
      <c r="I102" s="52"/>
      <c r="J102" s="53"/>
      <c r="K102" s="51"/>
    </row>
    <row r="103" spans="2:12">
      <c r="B103" s="670" t="s">
        <v>44</v>
      </c>
      <c r="C103" s="670"/>
      <c r="D103" s="670"/>
      <c r="E103" s="670"/>
      <c r="F103" s="670"/>
      <c r="G103" s="670"/>
      <c r="H103" s="670"/>
      <c r="I103" s="670"/>
      <c r="J103" s="670"/>
      <c r="K103" s="670"/>
      <c r="L103" s="670"/>
    </row>
    <row r="104" spans="2:12">
      <c r="B104" s="665" t="s">
        <v>45</v>
      </c>
      <c r="C104" s="665"/>
      <c r="D104" s="665"/>
      <c r="E104" s="665"/>
      <c r="F104" s="665"/>
      <c r="G104" s="665"/>
      <c r="H104" s="665"/>
      <c r="I104" s="665"/>
      <c r="J104" s="665"/>
      <c r="K104" s="665"/>
      <c r="L104" s="7" t="str">
        <f>L5</f>
        <v>SERVENTE</v>
      </c>
    </row>
    <row r="105" spans="2:12">
      <c r="B105" s="8" t="s">
        <v>4</v>
      </c>
      <c r="C105" s="629" t="str">
        <f>B6</f>
        <v xml:space="preserve">MÓDULO 01 – Composição da Remuneração </v>
      </c>
      <c r="D105" s="629"/>
      <c r="E105" s="629"/>
      <c r="F105" s="629"/>
      <c r="G105" s="629"/>
      <c r="H105" s="629"/>
      <c r="I105" s="629"/>
      <c r="J105" s="629"/>
      <c r="K105" s="629"/>
      <c r="L105" s="54" t="e">
        <f>L17</f>
        <v>#REF!</v>
      </c>
    </row>
    <row r="106" spans="2:12">
      <c r="B106" s="8" t="s">
        <v>6</v>
      </c>
      <c r="C106" s="629" t="str">
        <f>B19</f>
        <v>MÓDULO 2 – ENCARGOS E BENEFÍCIOS ANUAIS, MENSAIS E DIÁRIOS</v>
      </c>
      <c r="D106" s="629"/>
      <c r="E106" s="629"/>
      <c r="F106" s="629"/>
      <c r="G106" s="629"/>
      <c r="H106" s="629"/>
      <c r="I106" s="629"/>
      <c r="J106" s="629"/>
      <c r="K106" s="629"/>
      <c r="L106" s="54" t="e">
        <f>L51</f>
        <v>#REF!</v>
      </c>
    </row>
    <row r="107" spans="2:12">
      <c r="B107" s="8" t="s">
        <v>10</v>
      </c>
      <c r="C107" s="629" t="str">
        <f>B53</f>
        <v>MÓDULO 3 – PROVISÃO PARA RESCISÃO</v>
      </c>
      <c r="D107" s="629"/>
      <c r="E107" s="629"/>
      <c r="F107" s="629"/>
      <c r="G107" s="629"/>
      <c r="H107" s="629"/>
      <c r="I107" s="629"/>
      <c r="J107" s="629"/>
      <c r="K107" s="629"/>
      <c r="L107" s="54" t="e">
        <f>L60</f>
        <v>#REF!</v>
      </c>
    </row>
    <row r="108" spans="2:12">
      <c r="B108" s="8" t="s">
        <v>12</v>
      </c>
      <c r="C108" s="629" t="str">
        <f>B62</f>
        <v>MÓDULO 4 – CUSTO DE REPOSIÇÃO DO PROFISSIONAL AUSENTE</v>
      </c>
      <c r="D108" s="629"/>
      <c r="E108" s="629"/>
      <c r="F108" s="629"/>
      <c r="G108" s="629"/>
      <c r="H108" s="629"/>
      <c r="I108" s="629"/>
      <c r="J108" s="629"/>
      <c r="K108" s="629"/>
      <c r="L108" s="54" t="e">
        <f>L79</f>
        <v>#REF!</v>
      </c>
    </row>
    <row r="109" spans="2:12">
      <c r="B109" s="90" t="s">
        <v>14</v>
      </c>
      <c r="C109" s="629" t="str">
        <f>B81</f>
        <v>MÓDULO 5 – INSUMOS DIVERSOS</v>
      </c>
      <c r="D109" s="629"/>
      <c r="E109" s="629"/>
      <c r="F109" s="629"/>
      <c r="G109" s="629"/>
      <c r="H109" s="629"/>
      <c r="I109" s="629"/>
      <c r="J109" s="629"/>
      <c r="K109" s="629"/>
      <c r="L109" s="54" t="e">
        <f>L87</f>
        <v>#REF!</v>
      </c>
    </row>
    <row r="110" spans="2:12">
      <c r="B110" s="665" t="s">
        <v>209</v>
      </c>
      <c r="C110" s="665"/>
      <c r="D110" s="665"/>
      <c r="E110" s="665"/>
      <c r="F110" s="665"/>
      <c r="G110" s="665"/>
      <c r="H110" s="665"/>
      <c r="I110" s="665"/>
      <c r="J110" s="665"/>
      <c r="K110" s="665"/>
      <c r="L110" s="61" t="e">
        <f>SUM(L105:L109)</f>
        <v>#REF!</v>
      </c>
    </row>
    <row r="111" spans="2:12">
      <c r="B111" s="8" t="s">
        <v>14</v>
      </c>
      <c r="C111" s="629" t="s">
        <v>46</v>
      </c>
      <c r="D111" s="629"/>
      <c r="E111" s="629"/>
      <c r="F111" s="629"/>
      <c r="G111" s="629"/>
      <c r="H111" s="629"/>
      <c r="I111" s="629"/>
      <c r="J111" s="629"/>
      <c r="K111" s="629"/>
      <c r="L111" s="55" t="e">
        <f>L112-L110</f>
        <v>#REF!</v>
      </c>
    </row>
    <row r="112" spans="2:12">
      <c r="B112" s="666" t="s">
        <v>47</v>
      </c>
      <c r="C112" s="666"/>
      <c r="D112" s="666"/>
      <c r="E112" s="666"/>
      <c r="F112" s="666"/>
      <c r="G112" s="666"/>
      <c r="H112" s="666"/>
      <c r="I112" s="666"/>
      <c r="J112" s="666"/>
      <c r="K112" s="666"/>
      <c r="L112" s="62" t="e">
        <f>ROUND(J93/(1-$I$95),2)</f>
        <v>#REF!</v>
      </c>
    </row>
    <row r="113" spans="6:12">
      <c r="K113" s="50"/>
    </row>
    <row r="115" spans="6:12">
      <c r="F115" s="667" t="s">
        <v>48</v>
      </c>
      <c r="G115" s="668"/>
      <c r="H115" s="668"/>
      <c r="I115" s="669"/>
      <c r="J115" s="1"/>
      <c r="L115" s="1"/>
    </row>
    <row r="116" spans="6:12">
      <c r="F116" s="667" t="s">
        <v>49</v>
      </c>
      <c r="G116" s="668"/>
      <c r="H116" s="669"/>
      <c r="I116" s="56" t="s">
        <v>9</v>
      </c>
      <c r="J116" s="1"/>
      <c r="L116" s="1"/>
    </row>
    <row r="117" spans="6:12">
      <c r="F117" s="57" t="s">
        <v>50</v>
      </c>
      <c r="G117" s="57"/>
      <c r="H117" s="58"/>
      <c r="I117" s="58">
        <f>K91</f>
        <v>0.05</v>
      </c>
      <c r="J117" s="1"/>
      <c r="L117" s="1"/>
    </row>
    <row r="118" spans="6:12">
      <c r="F118" s="659" t="s">
        <v>32</v>
      </c>
      <c r="G118" s="660"/>
      <c r="H118" s="661"/>
      <c r="I118" s="58">
        <f>K92</f>
        <v>6.8099999999999994E-2</v>
      </c>
      <c r="J118" s="1"/>
      <c r="L118" s="1"/>
    </row>
    <row r="119" spans="6:12">
      <c r="F119" s="57" t="s">
        <v>51</v>
      </c>
      <c r="G119" s="57"/>
      <c r="H119" s="58"/>
      <c r="I119" s="58">
        <f>I95</f>
        <v>0.13250000000000001</v>
      </c>
      <c r="J119" s="1"/>
      <c r="L119" s="1"/>
    </row>
    <row r="120" spans="6:12">
      <c r="F120" s="662" t="s">
        <v>52</v>
      </c>
      <c r="G120" s="663"/>
      <c r="H120" s="664"/>
      <c r="I120" s="58">
        <f>(1+I117)*(1+I118)/(1-I119)-1</f>
        <v>0.29280115273775253</v>
      </c>
      <c r="J120" s="1"/>
      <c r="L120" s="1"/>
    </row>
  </sheetData>
  <mergeCells count="126">
    <mergeCell ref="B2:L2"/>
    <mergeCell ref="B3:L4"/>
    <mergeCell ref="B6:L6"/>
    <mergeCell ref="C7:K7"/>
    <mergeCell ref="C9:E9"/>
    <mergeCell ref="F9:I9"/>
    <mergeCell ref="C44:K44"/>
    <mergeCell ref="C14:I14"/>
    <mergeCell ref="C15:K15"/>
    <mergeCell ref="C16:K16"/>
    <mergeCell ref="B17:K17"/>
    <mergeCell ref="C8:K8"/>
    <mergeCell ref="C29:J29"/>
    <mergeCell ref="C30:J30"/>
    <mergeCell ref="C32:F32"/>
    <mergeCell ref="C33:J33"/>
    <mergeCell ref="C10:I10"/>
    <mergeCell ref="C11:I11"/>
    <mergeCell ref="C12:I12"/>
    <mergeCell ref="C13:I13"/>
    <mergeCell ref="B19:K19"/>
    <mergeCell ref="B20:J20"/>
    <mergeCell ref="B23:J23"/>
    <mergeCell ref="C21:J21"/>
    <mergeCell ref="B47:K47"/>
    <mergeCell ref="C48:J48"/>
    <mergeCell ref="C49:J49"/>
    <mergeCell ref="C50:J50"/>
    <mergeCell ref="B51:J51"/>
    <mergeCell ref="C67:E67"/>
    <mergeCell ref="C68:E68"/>
    <mergeCell ref="B70:J70"/>
    <mergeCell ref="B63:J63"/>
    <mergeCell ref="G68:H68"/>
    <mergeCell ref="C69:J69"/>
    <mergeCell ref="C65:F65"/>
    <mergeCell ref="G65:I65"/>
    <mergeCell ref="C66:F66"/>
    <mergeCell ref="G66:H66"/>
    <mergeCell ref="C59:H59"/>
    <mergeCell ref="I59:J59"/>
    <mergeCell ref="G67:H67"/>
    <mergeCell ref="C86:K86"/>
    <mergeCell ref="B72:J72"/>
    <mergeCell ref="C73:J73"/>
    <mergeCell ref="C82:K82"/>
    <mergeCell ref="C83:D83"/>
    <mergeCell ref="E83:I83"/>
    <mergeCell ref="J83:K83"/>
    <mergeCell ref="C78:J78"/>
    <mergeCell ref="C84:D84"/>
    <mergeCell ref="E84:I84"/>
    <mergeCell ref="J84:K84"/>
    <mergeCell ref="B79:J79"/>
    <mergeCell ref="B80:L80"/>
    <mergeCell ref="B81:J81"/>
    <mergeCell ref="C111:K111"/>
    <mergeCell ref="B112:K112"/>
    <mergeCell ref="F115:I115"/>
    <mergeCell ref="F116:H116"/>
    <mergeCell ref="F118:H118"/>
    <mergeCell ref="F120:H120"/>
    <mergeCell ref="B104:K104"/>
    <mergeCell ref="C105:K105"/>
    <mergeCell ref="C106:K106"/>
    <mergeCell ref="C107:K107"/>
    <mergeCell ref="C108:K108"/>
    <mergeCell ref="B110:K110"/>
    <mergeCell ref="C109:K109"/>
    <mergeCell ref="B101:K101"/>
    <mergeCell ref="B103:L103"/>
    <mergeCell ref="L95:L100"/>
    <mergeCell ref="C31:D31"/>
    <mergeCell ref="E31:F31"/>
    <mergeCell ref="G31:J31"/>
    <mergeCell ref="C92:J92"/>
    <mergeCell ref="B93:B100"/>
    <mergeCell ref="C95:F97"/>
    <mergeCell ref="I95:I100"/>
    <mergeCell ref="C98:F99"/>
    <mergeCell ref="C91:J91"/>
    <mergeCell ref="C94:F94"/>
    <mergeCell ref="J93:K93"/>
    <mergeCell ref="C93:I93"/>
    <mergeCell ref="J97:K97"/>
    <mergeCell ref="J98:K98"/>
    <mergeCell ref="J99:K99"/>
    <mergeCell ref="J100:K100"/>
    <mergeCell ref="C39:J39"/>
    <mergeCell ref="C40:J40"/>
    <mergeCell ref="C41:J41"/>
    <mergeCell ref="C42:J42"/>
    <mergeCell ref="C43:J43"/>
    <mergeCell ref="C22:J22"/>
    <mergeCell ref="B25:J25"/>
    <mergeCell ref="B34:J34"/>
    <mergeCell ref="B36:J36"/>
    <mergeCell ref="C37:J37"/>
    <mergeCell ref="C38:J38"/>
    <mergeCell ref="C26:J26"/>
    <mergeCell ref="C27:J27"/>
    <mergeCell ref="C28:J28"/>
    <mergeCell ref="B45:J45"/>
    <mergeCell ref="J94:K94"/>
    <mergeCell ref="C100:F100"/>
    <mergeCell ref="B62:J62"/>
    <mergeCell ref="C64:J64"/>
    <mergeCell ref="B53:J53"/>
    <mergeCell ref="C54:H54"/>
    <mergeCell ref="J95:K95"/>
    <mergeCell ref="J96:K96"/>
    <mergeCell ref="B52:L52"/>
    <mergeCell ref="B60:J60"/>
    <mergeCell ref="C55:H55"/>
    <mergeCell ref="I55:J55"/>
    <mergeCell ref="C56:H56"/>
    <mergeCell ref="I56:J56"/>
    <mergeCell ref="C57:H57"/>
    <mergeCell ref="I57:J57"/>
    <mergeCell ref="C58:H58"/>
    <mergeCell ref="I58:J58"/>
    <mergeCell ref="B74:J74"/>
    <mergeCell ref="B76:K76"/>
    <mergeCell ref="C77:J77"/>
    <mergeCell ref="B90:J90"/>
    <mergeCell ref="B87:J87"/>
  </mergeCells>
  <pageMargins left="0.511811024" right="0.511811024" top="0.78740157499999996" bottom="0.78740157499999996" header="0.31496062000000002" footer="0.31496062000000002"/>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T120"/>
  <sheetViews>
    <sheetView workbookViewId="0">
      <selection activeCell="G85" sqref="G85"/>
    </sheetView>
  </sheetViews>
  <sheetFormatPr defaultColWidth="11.85546875" defaultRowHeight="15"/>
  <cols>
    <col min="1" max="1" width="6.28515625" style="1" customWidth="1"/>
    <col min="2" max="2" width="4.5703125" style="1" customWidth="1"/>
    <col min="3" max="3" width="9" style="1" customWidth="1"/>
    <col min="4" max="4" width="25" style="1" customWidth="1"/>
    <col min="5" max="5" width="4.7109375" style="1" bestFit="1" customWidth="1"/>
    <col min="6" max="6" width="9" style="1" bestFit="1" customWidth="1"/>
    <col min="7" max="7" width="10.42578125" style="1" customWidth="1"/>
    <col min="8" max="8" width="10.7109375" style="1" customWidth="1"/>
    <col min="9" max="9" width="16.7109375" style="32" customWidth="1"/>
    <col min="10" max="10" width="9" style="33" bestFit="1" customWidth="1"/>
    <col min="11" max="11" width="9.140625" style="1" bestFit="1" customWidth="1"/>
    <col min="12" max="12" width="12.7109375" style="18" bestFit="1" customWidth="1"/>
    <col min="13" max="13" width="13.28515625" style="1" bestFit="1" customWidth="1"/>
    <col min="14" max="16384" width="11.85546875" style="1"/>
  </cols>
  <sheetData>
    <row r="2" spans="2:13">
      <c r="B2" s="622" t="s">
        <v>2</v>
      </c>
      <c r="C2" s="622"/>
      <c r="D2" s="622"/>
      <c r="E2" s="622"/>
      <c r="F2" s="622"/>
      <c r="G2" s="622"/>
      <c r="H2" s="622"/>
      <c r="I2" s="622"/>
      <c r="J2" s="622"/>
      <c r="K2" s="622"/>
      <c r="L2" s="622"/>
    </row>
    <row r="3" spans="2:13" s="2" customFormat="1">
      <c r="B3" s="623" t="e">
        <f>#REF!</f>
        <v>#REF!</v>
      </c>
      <c r="C3" s="624"/>
      <c r="D3" s="624"/>
      <c r="E3" s="624"/>
      <c r="F3" s="624"/>
      <c r="G3" s="624"/>
      <c r="H3" s="624"/>
      <c r="I3" s="624"/>
      <c r="J3" s="624"/>
      <c r="K3" s="624"/>
      <c r="L3" s="625"/>
    </row>
    <row r="4" spans="2:13" s="2" customFormat="1">
      <c r="B4" s="626"/>
      <c r="C4" s="627"/>
      <c r="D4" s="627"/>
      <c r="E4" s="627"/>
      <c r="F4" s="627"/>
      <c r="G4" s="627"/>
      <c r="H4" s="627"/>
      <c r="I4" s="627"/>
      <c r="J4" s="627"/>
      <c r="K4" s="627"/>
      <c r="L4" s="628"/>
    </row>
    <row r="5" spans="2:13">
      <c r="B5" s="3"/>
      <c r="C5" s="4"/>
      <c r="D5" s="4"/>
      <c r="E5" s="4"/>
      <c r="F5" s="4"/>
      <c r="G5" s="4"/>
      <c r="H5" s="4"/>
      <c r="I5" s="5"/>
      <c r="J5" s="4"/>
      <c r="K5" s="6"/>
      <c r="L5" s="7" t="s">
        <v>53</v>
      </c>
    </row>
    <row r="6" spans="2:13">
      <c r="B6" s="611" t="s">
        <v>3</v>
      </c>
      <c r="C6" s="611"/>
      <c r="D6" s="611"/>
      <c r="E6" s="611"/>
      <c r="F6" s="611"/>
      <c r="G6" s="611"/>
      <c r="H6" s="611"/>
      <c r="I6" s="611"/>
      <c r="J6" s="611"/>
      <c r="K6" s="611"/>
      <c r="L6" s="611"/>
    </row>
    <row r="7" spans="2:13">
      <c r="B7" s="59" t="s">
        <v>4</v>
      </c>
      <c r="C7" s="629" t="s">
        <v>5</v>
      </c>
      <c r="D7" s="629"/>
      <c r="E7" s="629"/>
      <c r="F7" s="629"/>
      <c r="G7" s="629"/>
      <c r="H7" s="629"/>
      <c r="I7" s="629"/>
      <c r="J7" s="629"/>
      <c r="K7" s="629"/>
      <c r="L7" s="9" t="e">
        <f>#REF!</f>
        <v>#REF!</v>
      </c>
    </row>
    <row r="8" spans="2:13">
      <c r="B8" s="79" t="s">
        <v>154</v>
      </c>
      <c r="C8" s="629" t="s">
        <v>155</v>
      </c>
      <c r="D8" s="629"/>
      <c r="E8" s="629"/>
      <c r="F8" s="629"/>
      <c r="G8" s="629"/>
      <c r="H8" s="629"/>
      <c r="I8" s="629"/>
      <c r="J8" s="629"/>
      <c r="K8" s="629"/>
      <c r="L8" s="9"/>
    </row>
    <row r="9" spans="2:13">
      <c r="B9" s="59" t="s">
        <v>6</v>
      </c>
      <c r="C9" s="629" t="s">
        <v>7</v>
      </c>
      <c r="D9" s="629"/>
      <c r="E9" s="629"/>
      <c r="F9" s="617" t="s">
        <v>8</v>
      </c>
      <c r="G9" s="617"/>
      <c r="H9" s="617"/>
      <c r="I9" s="617"/>
      <c r="J9" s="10" t="s">
        <v>9</v>
      </c>
      <c r="K9" s="11">
        <v>0</v>
      </c>
      <c r="L9" s="12">
        <v>0</v>
      </c>
      <c r="M9" s="13"/>
    </row>
    <row r="10" spans="2:13">
      <c r="B10" s="90" t="s">
        <v>10</v>
      </c>
      <c r="C10" s="603" t="s">
        <v>160</v>
      </c>
      <c r="D10" s="604"/>
      <c r="E10" s="604"/>
      <c r="F10" s="604"/>
      <c r="G10" s="604"/>
      <c r="H10" s="604"/>
      <c r="I10" s="605"/>
      <c r="J10" s="10" t="s">
        <v>9</v>
      </c>
      <c r="K10" s="11">
        <v>0</v>
      </c>
      <c r="L10" s="12">
        <v>0</v>
      </c>
      <c r="M10" s="13"/>
    </row>
    <row r="11" spans="2:13">
      <c r="B11" s="90" t="s">
        <v>12</v>
      </c>
      <c r="C11" s="603" t="s">
        <v>157</v>
      </c>
      <c r="D11" s="604"/>
      <c r="E11" s="604"/>
      <c r="F11" s="604"/>
      <c r="G11" s="604"/>
      <c r="H11" s="604"/>
      <c r="I11" s="605"/>
      <c r="J11" s="10" t="s">
        <v>9</v>
      </c>
      <c r="K11" s="11">
        <v>0</v>
      </c>
      <c r="L11" s="12">
        <v>0</v>
      </c>
      <c r="M11" s="13"/>
    </row>
    <row r="12" spans="2:13">
      <c r="B12" s="90" t="s">
        <v>14</v>
      </c>
      <c r="C12" s="603" t="s">
        <v>158</v>
      </c>
      <c r="D12" s="604"/>
      <c r="E12" s="604"/>
      <c r="F12" s="604"/>
      <c r="G12" s="604"/>
      <c r="H12" s="604"/>
      <c r="I12" s="605"/>
      <c r="J12" s="10" t="s">
        <v>9</v>
      </c>
      <c r="K12" s="11">
        <v>0</v>
      </c>
      <c r="L12" s="12">
        <v>0</v>
      </c>
      <c r="M12" s="13"/>
    </row>
    <row r="13" spans="2:13">
      <c r="B13" s="90" t="s">
        <v>1</v>
      </c>
      <c r="C13" s="603" t="s">
        <v>159</v>
      </c>
      <c r="D13" s="604"/>
      <c r="E13" s="604"/>
      <c r="F13" s="604"/>
      <c r="G13" s="604"/>
      <c r="H13" s="604"/>
      <c r="I13" s="605"/>
      <c r="J13" s="10" t="s">
        <v>9</v>
      </c>
      <c r="K13" s="11">
        <v>0</v>
      </c>
      <c r="L13" s="12">
        <v>0</v>
      </c>
      <c r="M13" s="13"/>
    </row>
    <row r="14" spans="2:13">
      <c r="B14" s="90" t="s">
        <v>15</v>
      </c>
      <c r="C14" s="618" t="s">
        <v>11</v>
      </c>
      <c r="D14" s="618"/>
      <c r="E14" s="618"/>
      <c r="F14" s="618"/>
      <c r="G14" s="618"/>
      <c r="H14" s="618"/>
      <c r="I14" s="618"/>
      <c r="J14" s="10" t="s">
        <v>9</v>
      </c>
      <c r="K14" s="14">
        <v>0</v>
      </c>
      <c r="L14" s="12">
        <v>0</v>
      </c>
      <c r="M14" s="13"/>
    </row>
    <row r="15" spans="2:13">
      <c r="B15" s="90" t="s">
        <v>16</v>
      </c>
      <c r="C15" s="619" t="s">
        <v>13</v>
      </c>
      <c r="D15" s="619"/>
      <c r="E15" s="619"/>
      <c r="F15" s="619"/>
      <c r="G15" s="619"/>
      <c r="H15" s="619"/>
      <c r="I15" s="619"/>
      <c r="J15" s="619"/>
      <c r="K15" s="619"/>
      <c r="L15" s="12">
        <v>0</v>
      </c>
      <c r="M15" s="13"/>
    </row>
    <row r="16" spans="2:13">
      <c r="B16" s="90" t="s">
        <v>156</v>
      </c>
      <c r="C16" s="620" t="s">
        <v>0</v>
      </c>
      <c r="D16" s="620"/>
      <c r="E16" s="620"/>
      <c r="F16" s="620"/>
      <c r="G16" s="620"/>
      <c r="H16" s="620"/>
      <c r="I16" s="620"/>
      <c r="J16" s="620"/>
      <c r="K16" s="620"/>
      <c r="L16" s="12"/>
      <c r="M16" s="13"/>
    </row>
    <row r="17" spans="2:13">
      <c r="B17" s="621" t="s">
        <v>208</v>
      </c>
      <c r="C17" s="621"/>
      <c r="D17" s="621"/>
      <c r="E17" s="621"/>
      <c r="F17" s="621"/>
      <c r="G17" s="621"/>
      <c r="H17" s="621"/>
      <c r="I17" s="621"/>
      <c r="J17" s="621"/>
      <c r="K17" s="621"/>
      <c r="L17" s="100" t="e">
        <f>SUM(L7:L16)</f>
        <v>#REF!</v>
      </c>
      <c r="M17" s="15"/>
    </row>
    <row r="18" spans="2:13">
      <c r="B18" s="16"/>
      <c r="C18" s="16"/>
      <c r="D18" s="16"/>
      <c r="E18" s="16"/>
      <c r="F18" s="16"/>
      <c r="G18" s="16"/>
      <c r="H18" s="16"/>
      <c r="I18" s="17"/>
      <c r="J18" s="16"/>
      <c r="K18" s="16"/>
    </row>
    <row r="19" spans="2:13">
      <c r="B19" s="611" t="s">
        <v>161</v>
      </c>
      <c r="C19" s="611"/>
      <c r="D19" s="611"/>
      <c r="E19" s="611"/>
      <c r="F19" s="611"/>
      <c r="G19" s="611"/>
      <c r="H19" s="611"/>
      <c r="I19" s="611"/>
      <c r="J19" s="611"/>
      <c r="K19" s="611"/>
      <c r="L19" s="7" t="str">
        <f>L5</f>
        <v>SERVENTE</v>
      </c>
    </row>
    <row r="20" spans="2:13">
      <c r="B20" s="612" t="s">
        <v>162</v>
      </c>
      <c r="C20" s="613"/>
      <c r="D20" s="613"/>
      <c r="E20" s="613"/>
      <c r="F20" s="613"/>
      <c r="G20" s="613"/>
      <c r="H20" s="613"/>
      <c r="I20" s="613"/>
      <c r="J20" s="613"/>
      <c r="K20" s="92" t="s">
        <v>9</v>
      </c>
      <c r="L20" s="12" t="s">
        <v>166</v>
      </c>
    </row>
    <row r="21" spans="2:13">
      <c r="B21" s="90" t="s">
        <v>4</v>
      </c>
      <c r="C21" s="603" t="s">
        <v>163</v>
      </c>
      <c r="D21" s="604"/>
      <c r="E21" s="604"/>
      <c r="F21" s="604"/>
      <c r="G21" s="604"/>
      <c r="H21" s="604"/>
      <c r="I21" s="604"/>
      <c r="J21" s="605"/>
      <c r="K21" s="34">
        <v>8.3299999999999999E-2</v>
      </c>
      <c r="L21" s="12" t="e">
        <f>K21*L17</f>
        <v>#REF!</v>
      </c>
    </row>
    <row r="22" spans="2:13">
      <c r="B22" s="90" t="s">
        <v>6</v>
      </c>
      <c r="C22" s="603" t="s">
        <v>164</v>
      </c>
      <c r="D22" s="604"/>
      <c r="E22" s="604"/>
      <c r="F22" s="604"/>
      <c r="G22" s="604"/>
      <c r="H22" s="604"/>
      <c r="I22" s="604"/>
      <c r="J22" s="605"/>
      <c r="K22" s="34">
        <v>2.7799999999999998E-2</v>
      </c>
      <c r="L22" s="12" t="e">
        <f>K22*L17</f>
        <v>#REF!</v>
      </c>
    </row>
    <row r="23" spans="2:13">
      <c r="B23" s="614" t="s">
        <v>165</v>
      </c>
      <c r="C23" s="615"/>
      <c r="D23" s="615"/>
      <c r="E23" s="615"/>
      <c r="F23" s="615"/>
      <c r="G23" s="615"/>
      <c r="H23" s="615"/>
      <c r="I23" s="615"/>
      <c r="J23" s="616"/>
      <c r="K23" s="34">
        <f>SUM(K21:K22)</f>
        <v>0.1111</v>
      </c>
      <c r="L23" s="12" t="e">
        <f>SUM(L21:L22)</f>
        <v>#REF!</v>
      </c>
    </row>
    <row r="24" spans="2:13">
      <c r="B24" s="93"/>
      <c r="C24" s="94"/>
      <c r="D24" s="94"/>
      <c r="E24" s="94"/>
      <c r="F24" s="94"/>
      <c r="G24" s="94"/>
      <c r="H24" s="94"/>
      <c r="I24" s="94"/>
      <c r="J24" s="95"/>
      <c r="K24" s="34"/>
      <c r="L24" s="12"/>
    </row>
    <row r="25" spans="2:13">
      <c r="B25" s="612" t="s">
        <v>167</v>
      </c>
      <c r="C25" s="613"/>
      <c r="D25" s="613"/>
      <c r="E25" s="613"/>
      <c r="F25" s="613"/>
      <c r="G25" s="613"/>
      <c r="H25" s="613"/>
      <c r="I25" s="613"/>
      <c r="J25" s="613"/>
      <c r="K25" s="92" t="s">
        <v>9</v>
      </c>
      <c r="L25" s="12" t="s">
        <v>166</v>
      </c>
    </row>
    <row r="26" spans="2:13">
      <c r="B26" s="74" t="s">
        <v>4</v>
      </c>
      <c r="C26" s="617" t="s">
        <v>17</v>
      </c>
      <c r="D26" s="617"/>
      <c r="E26" s="617"/>
      <c r="F26" s="617"/>
      <c r="G26" s="617"/>
      <c r="H26" s="617"/>
      <c r="I26" s="617"/>
      <c r="J26" s="617"/>
      <c r="K26" s="27">
        <v>0.2</v>
      </c>
      <c r="L26" s="28" t="e">
        <f>ROUND($K$26*L17,2)</f>
        <v>#REF!</v>
      </c>
    </row>
    <row r="27" spans="2:13">
      <c r="B27" s="74" t="s">
        <v>6</v>
      </c>
      <c r="C27" s="617" t="s">
        <v>18</v>
      </c>
      <c r="D27" s="617"/>
      <c r="E27" s="617"/>
      <c r="F27" s="617"/>
      <c r="G27" s="617"/>
      <c r="H27" s="617"/>
      <c r="I27" s="617"/>
      <c r="J27" s="617"/>
      <c r="K27" s="27">
        <v>1.4999999999999999E-2</v>
      </c>
      <c r="L27" s="28" t="e">
        <f>ROUND($K$27*L17,2)</f>
        <v>#REF!</v>
      </c>
    </row>
    <row r="28" spans="2:13">
      <c r="B28" s="74" t="s">
        <v>10</v>
      </c>
      <c r="C28" s="617" t="s">
        <v>19</v>
      </c>
      <c r="D28" s="617"/>
      <c r="E28" s="617"/>
      <c r="F28" s="617"/>
      <c r="G28" s="617"/>
      <c r="H28" s="617"/>
      <c r="I28" s="617"/>
      <c r="J28" s="617"/>
      <c r="K28" s="27">
        <v>0.01</v>
      </c>
      <c r="L28" s="28" t="e">
        <f>ROUND(K28*$L$17,2)</f>
        <v>#REF!</v>
      </c>
    </row>
    <row r="29" spans="2:13">
      <c r="B29" s="74" t="s">
        <v>12</v>
      </c>
      <c r="C29" s="617" t="s">
        <v>20</v>
      </c>
      <c r="D29" s="617"/>
      <c r="E29" s="617"/>
      <c r="F29" s="617"/>
      <c r="G29" s="617"/>
      <c r="H29" s="617"/>
      <c r="I29" s="617"/>
      <c r="J29" s="617"/>
      <c r="K29" s="27">
        <v>2E-3</v>
      </c>
      <c r="L29" s="28" t="e">
        <f>ROUND(K29*$L$17,2)</f>
        <v>#REF!</v>
      </c>
    </row>
    <row r="30" spans="2:13">
      <c r="B30" s="74" t="s">
        <v>14</v>
      </c>
      <c r="C30" s="617" t="s">
        <v>21</v>
      </c>
      <c r="D30" s="617"/>
      <c r="E30" s="617"/>
      <c r="F30" s="617"/>
      <c r="G30" s="617"/>
      <c r="H30" s="617"/>
      <c r="I30" s="617"/>
      <c r="J30" s="617"/>
      <c r="K30" s="27">
        <v>2.5000000000000001E-2</v>
      </c>
      <c r="L30" s="28" t="e">
        <f>ROUND(K30*$L$17,2)</f>
        <v>#REF!</v>
      </c>
      <c r="M30" s="29"/>
    </row>
    <row r="31" spans="2:13">
      <c r="B31" s="74" t="s">
        <v>1</v>
      </c>
      <c r="C31" s="603" t="s">
        <v>153</v>
      </c>
      <c r="D31" s="605"/>
      <c r="E31" s="638">
        <v>0.08</v>
      </c>
      <c r="F31" s="639"/>
      <c r="G31" s="603" t="s">
        <v>152</v>
      </c>
      <c r="H31" s="604"/>
      <c r="I31" s="604"/>
      <c r="J31" s="605"/>
      <c r="K31" s="27">
        <f>E31*(1+(1/12)+(1/12/3))</f>
        <v>8.8888888888888878E-2</v>
      </c>
      <c r="L31" s="28" t="e">
        <f>ROUND(K31*($L$17+(1/3/12*L17)+(1/12*L17)),2)</f>
        <v>#REF!</v>
      </c>
      <c r="M31" s="1" t="s">
        <v>168</v>
      </c>
    </row>
    <row r="32" spans="2:13">
      <c r="B32" s="74" t="s">
        <v>15</v>
      </c>
      <c r="C32" s="617" t="s">
        <v>22</v>
      </c>
      <c r="D32" s="617"/>
      <c r="E32" s="617"/>
      <c r="F32" s="617"/>
      <c r="G32" s="73" t="s">
        <v>23</v>
      </c>
      <c r="H32" s="30">
        <v>0.03</v>
      </c>
      <c r="I32" s="73" t="s">
        <v>24</v>
      </c>
      <c r="J32" s="63">
        <v>1</v>
      </c>
      <c r="K32" s="31">
        <f>H32*J32</f>
        <v>0.03</v>
      </c>
      <c r="L32" s="28" t="e">
        <f>ROUND(K32*$L$17,2)</f>
        <v>#REF!</v>
      </c>
    </row>
    <row r="33" spans="2:20">
      <c r="B33" s="74" t="s">
        <v>16</v>
      </c>
      <c r="C33" s="617" t="s">
        <v>25</v>
      </c>
      <c r="D33" s="617"/>
      <c r="E33" s="617"/>
      <c r="F33" s="617"/>
      <c r="G33" s="617"/>
      <c r="H33" s="617"/>
      <c r="I33" s="617"/>
      <c r="J33" s="617"/>
      <c r="K33" s="27">
        <v>6.0000000000000001E-3</v>
      </c>
      <c r="L33" s="28" t="e">
        <f>ROUND(K33*$L$17,2)</f>
        <v>#REF!</v>
      </c>
      <c r="M33" s="2"/>
      <c r="N33" s="2"/>
      <c r="O33" s="2"/>
      <c r="P33" s="2"/>
      <c r="Q33" s="2"/>
      <c r="R33" s="2"/>
      <c r="S33" s="2"/>
      <c r="T33" s="2"/>
    </row>
    <row r="34" spans="2:20">
      <c r="B34" s="614" t="s">
        <v>169</v>
      </c>
      <c r="C34" s="615"/>
      <c r="D34" s="615"/>
      <c r="E34" s="615"/>
      <c r="F34" s="615"/>
      <c r="G34" s="615"/>
      <c r="H34" s="615"/>
      <c r="I34" s="615"/>
      <c r="J34" s="616"/>
      <c r="K34" s="34">
        <f>SUM(K26:K33)</f>
        <v>0.37688888888888894</v>
      </c>
      <c r="L34" s="12" t="e">
        <f>SUM(L26:L33)</f>
        <v>#REF!</v>
      </c>
      <c r="M34" s="2"/>
      <c r="N34" s="2"/>
      <c r="O34" s="2"/>
      <c r="P34" s="2"/>
      <c r="Q34" s="2"/>
      <c r="R34" s="2"/>
      <c r="S34" s="2"/>
      <c r="T34" s="2"/>
    </row>
    <row r="35" spans="2:20">
      <c r="B35" s="93"/>
      <c r="C35" s="94"/>
      <c r="D35" s="94"/>
      <c r="E35" s="94"/>
      <c r="F35" s="94"/>
      <c r="G35" s="94"/>
      <c r="H35" s="94"/>
      <c r="I35" s="94"/>
      <c r="J35" s="95"/>
      <c r="K35" s="34"/>
      <c r="L35" s="12"/>
      <c r="M35" s="2"/>
      <c r="N35" s="2"/>
      <c r="O35" s="2"/>
      <c r="P35" s="2"/>
      <c r="Q35" s="2"/>
      <c r="R35" s="2"/>
      <c r="S35" s="2"/>
      <c r="T35" s="2"/>
    </row>
    <row r="36" spans="2:20">
      <c r="B36" s="612" t="s">
        <v>170</v>
      </c>
      <c r="C36" s="613"/>
      <c r="D36" s="613"/>
      <c r="E36" s="613"/>
      <c r="F36" s="613"/>
      <c r="G36" s="613"/>
      <c r="H36" s="613"/>
      <c r="I36" s="613"/>
      <c r="J36" s="613"/>
      <c r="K36" s="92"/>
      <c r="L36" s="12" t="s">
        <v>166</v>
      </c>
    </row>
    <row r="37" spans="2:20">
      <c r="B37" s="59" t="s">
        <v>4</v>
      </c>
      <c r="C37" s="603" t="e">
        <f>#REF!</f>
        <v>#REF!</v>
      </c>
      <c r="D37" s="604"/>
      <c r="E37" s="604"/>
      <c r="F37" s="604"/>
      <c r="G37" s="604"/>
      <c r="H37" s="604"/>
      <c r="I37" s="604"/>
      <c r="J37" s="605"/>
      <c r="K37" s="80"/>
      <c r="L37" s="12" t="e">
        <f>#REF!</f>
        <v>#REF!</v>
      </c>
    </row>
    <row r="38" spans="2:20">
      <c r="B38" s="59" t="s">
        <v>6</v>
      </c>
      <c r="C38" s="603" t="e">
        <f>#REF!</f>
        <v>#REF!</v>
      </c>
      <c r="D38" s="604"/>
      <c r="E38" s="604"/>
      <c r="F38" s="604"/>
      <c r="G38" s="604"/>
      <c r="H38" s="604"/>
      <c r="I38" s="604"/>
      <c r="J38" s="605"/>
      <c r="K38" s="80"/>
      <c r="L38" s="12" t="e">
        <f>#REF!</f>
        <v>#REF!</v>
      </c>
    </row>
    <row r="39" spans="2:20">
      <c r="B39" s="59" t="s">
        <v>10</v>
      </c>
      <c r="C39" s="603" t="e">
        <f>#REF!</f>
        <v>#REF!</v>
      </c>
      <c r="D39" s="604"/>
      <c r="E39" s="604"/>
      <c r="F39" s="604"/>
      <c r="G39" s="604"/>
      <c r="H39" s="604"/>
      <c r="I39" s="604"/>
      <c r="J39" s="605"/>
      <c r="K39" s="80"/>
      <c r="L39" s="12" t="e">
        <f>#REF!</f>
        <v>#REF!</v>
      </c>
    </row>
    <row r="40" spans="2:20">
      <c r="B40" s="79" t="s">
        <v>12</v>
      </c>
      <c r="C40" s="603" t="e">
        <f>#REF!</f>
        <v>#REF!</v>
      </c>
      <c r="D40" s="604"/>
      <c r="E40" s="604"/>
      <c r="F40" s="604"/>
      <c r="G40" s="604"/>
      <c r="H40" s="604"/>
      <c r="I40" s="604"/>
      <c r="J40" s="605"/>
      <c r="K40" s="80"/>
      <c r="L40" s="12" t="e">
        <f>#REF!</f>
        <v>#REF!</v>
      </c>
    </row>
    <row r="41" spans="2:20">
      <c r="B41" s="79" t="s">
        <v>14</v>
      </c>
      <c r="C41" s="603" t="e">
        <f>#REF!</f>
        <v>#REF!</v>
      </c>
      <c r="D41" s="604"/>
      <c r="E41" s="604"/>
      <c r="F41" s="604"/>
      <c r="G41" s="604"/>
      <c r="H41" s="604"/>
      <c r="I41" s="604"/>
      <c r="J41" s="605"/>
      <c r="K41" s="81"/>
      <c r="L41" s="12" t="e">
        <f>#REF!</f>
        <v>#REF!</v>
      </c>
    </row>
    <row r="42" spans="2:20">
      <c r="B42" s="79" t="s">
        <v>1</v>
      </c>
      <c r="C42" s="603" t="e">
        <f>#REF!</f>
        <v>#REF!</v>
      </c>
      <c r="D42" s="604"/>
      <c r="E42" s="604"/>
      <c r="F42" s="604"/>
      <c r="G42" s="604"/>
      <c r="H42" s="604"/>
      <c r="I42" s="604"/>
      <c r="J42" s="605"/>
      <c r="K42" s="82"/>
      <c r="L42" s="12" t="e">
        <f>#REF!</f>
        <v>#REF!</v>
      </c>
    </row>
    <row r="43" spans="2:20">
      <c r="B43" s="79" t="s">
        <v>15</v>
      </c>
      <c r="C43" s="603" t="e">
        <f>#REF!</f>
        <v>#REF!</v>
      </c>
      <c r="D43" s="604"/>
      <c r="E43" s="604"/>
      <c r="F43" s="604"/>
      <c r="G43" s="604"/>
      <c r="H43" s="604"/>
      <c r="I43" s="604"/>
      <c r="J43" s="605"/>
      <c r="K43" s="82"/>
      <c r="L43" s="12" t="e">
        <f>#REF!</f>
        <v>#REF!</v>
      </c>
    </row>
    <row r="44" spans="2:20">
      <c r="B44" s="79" t="s">
        <v>16</v>
      </c>
      <c r="C44" s="620" t="s">
        <v>0</v>
      </c>
      <c r="D44" s="620"/>
      <c r="E44" s="620"/>
      <c r="F44" s="620"/>
      <c r="G44" s="620"/>
      <c r="H44" s="620"/>
      <c r="I44" s="620"/>
      <c r="J44" s="620"/>
      <c r="K44" s="620"/>
      <c r="L44" s="19">
        <v>0</v>
      </c>
    </row>
    <row r="45" spans="2:20">
      <c r="B45" s="614" t="s">
        <v>172</v>
      </c>
      <c r="C45" s="615"/>
      <c r="D45" s="615"/>
      <c r="E45" s="615"/>
      <c r="F45" s="615"/>
      <c r="G45" s="615"/>
      <c r="H45" s="615"/>
      <c r="I45" s="615"/>
      <c r="J45" s="616"/>
      <c r="K45" s="34"/>
      <c r="L45" s="12" t="e">
        <f>SUM(L37:L44)</f>
        <v>#REF!</v>
      </c>
    </row>
    <row r="46" spans="2:20">
      <c r="B46" s="93"/>
      <c r="C46" s="94"/>
      <c r="D46" s="94"/>
      <c r="E46" s="94"/>
      <c r="F46" s="94"/>
      <c r="G46" s="94"/>
      <c r="H46" s="94"/>
      <c r="I46" s="94"/>
      <c r="J46" s="95"/>
      <c r="K46" s="34"/>
      <c r="L46" s="12"/>
    </row>
    <row r="47" spans="2:20">
      <c r="B47" s="602" t="s">
        <v>173</v>
      </c>
      <c r="C47" s="602"/>
      <c r="D47" s="602"/>
      <c r="E47" s="602"/>
      <c r="F47" s="602"/>
      <c r="G47" s="602"/>
      <c r="H47" s="602"/>
      <c r="I47" s="602"/>
      <c r="J47" s="602"/>
      <c r="K47" s="602"/>
      <c r="L47" s="7" t="str">
        <f>L5</f>
        <v>SERVENTE</v>
      </c>
    </row>
    <row r="48" spans="2:20">
      <c r="B48" s="90" t="s">
        <v>174</v>
      </c>
      <c r="C48" s="603" t="s">
        <v>177</v>
      </c>
      <c r="D48" s="604"/>
      <c r="E48" s="604"/>
      <c r="F48" s="604"/>
      <c r="G48" s="604"/>
      <c r="H48" s="604"/>
      <c r="I48" s="604"/>
      <c r="J48" s="605"/>
      <c r="K48" s="80"/>
      <c r="L48" s="12" t="e">
        <f>L23</f>
        <v>#REF!</v>
      </c>
    </row>
    <row r="49" spans="2:12">
      <c r="B49" s="90" t="s">
        <v>175</v>
      </c>
      <c r="C49" s="603" t="s">
        <v>178</v>
      </c>
      <c r="D49" s="604"/>
      <c r="E49" s="604"/>
      <c r="F49" s="604"/>
      <c r="G49" s="604"/>
      <c r="H49" s="604"/>
      <c r="I49" s="604"/>
      <c r="J49" s="605"/>
      <c r="K49" s="80"/>
      <c r="L49" s="12" t="e">
        <f>L34</f>
        <v>#REF!</v>
      </c>
    </row>
    <row r="50" spans="2:12">
      <c r="B50" s="90" t="s">
        <v>176</v>
      </c>
      <c r="C50" s="603" t="s">
        <v>180</v>
      </c>
      <c r="D50" s="604"/>
      <c r="E50" s="604"/>
      <c r="F50" s="604"/>
      <c r="G50" s="604"/>
      <c r="H50" s="604"/>
      <c r="I50" s="604"/>
      <c r="J50" s="605"/>
      <c r="K50" s="80"/>
      <c r="L50" s="12" t="e">
        <f>L45</f>
        <v>#REF!</v>
      </c>
    </row>
    <row r="51" spans="2:12">
      <c r="B51" s="606" t="s">
        <v>179</v>
      </c>
      <c r="C51" s="607"/>
      <c r="D51" s="607"/>
      <c r="E51" s="607"/>
      <c r="F51" s="607"/>
      <c r="G51" s="607"/>
      <c r="H51" s="607"/>
      <c r="I51" s="607"/>
      <c r="J51" s="608"/>
      <c r="K51" s="101"/>
      <c r="L51" s="102" t="e">
        <f>SUM(L48:L50)</f>
        <v>#REF!</v>
      </c>
    </row>
    <row r="52" spans="2:12">
      <c r="B52" s="609"/>
      <c r="C52" s="610"/>
      <c r="D52" s="610"/>
      <c r="E52" s="610"/>
      <c r="F52" s="610"/>
      <c r="G52" s="610"/>
      <c r="H52" s="610"/>
      <c r="I52" s="610"/>
      <c r="J52" s="610"/>
      <c r="K52" s="610"/>
      <c r="L52" s="610"/>
    </row>
    <row r="53" spans="2:12">
      <c r="B53" s="611" t="s">
        <v>171</v>
      </c>
      <c r="C53" s="611"/>
      <c r="D53" s="611"/>
      <c r="E53" s="611"/>
      <c r="F53" s="611"/>
      <c r="G53" s="611"/>
      <c r="H53" s="611"/>
      <c r="I53" s="611"/>
      <c r="J53" s="611"/>
      <c r="K53" s="97" t="s">
        <v>9</v>
      </c>
      <c r="L53" s="98" t="s">
        <v>166</v>
      </c>
    </row>
    <row r="54" spans="2:12">
      <c r="B54" s="59" t="s">
        <v>4</v>
      </c>
      <c r="C54" s="617" t="s">
        <v>26</v>
      </c>
      <c r="D54" s="617"/>
      <c r="E54" s="617"/>
      <c r="F54" s="617"/>
      <c r="G54" s="617"/>
      <c r="H54" s="617"/>
      <c r="I54" s="38">
        <v>30</v>
      </c>
      <c r="J54" s="39">
        <v>0.05</v>
      </c>
      <c r="K54" s="34">
        <f>I54/30/12*J54</f>
        <v>4.1666666666666666E-3</v>
      </c>
      <c r="L54" s="12" t="e">
        <f t="shared" ref="L54:L59" si="0">ROUND(K54*$L$17,2)</f>
        <v>#REF!</v>
      </c>
    </row>
    <row r="55" spans="2:12">
      <c r="B55" s="59" t="s">
        <v>6</v>
      </c>
      <c r="C55" s="617" t="s">
        <v>27</v>
      </c>
      <c r="D55" s="617"/>
      <c r="E55" s="617"/>
      <c r="F55" s="617"/>
      <c r="G55" s="617"/>
      <c r="H55" s="617"/>
      <c r="I55" s="617"/>
      <c r="J55" s="617"/>
      <c r="K55" s="34">
        <f>K31*K54</f>
        <v>3.703703703703703E-4</v>
      </c>
      <c r="L55" s="12" t="e">
        <f t="shared" si="0"/>
        <v>#REF!</v>
      </c>
    </row>
    <row r="56" spans="2:12">
      <c r="B56" s="90" t="s">
        <v>10</v>
      </c>
      <c r="C56" s="617" t="s">
        <v>182</v>
      </c>
      <c r="D56" s="617"/>
      <c r="E56" s="617"/>
      <c r="F56" s="617"/>
      <c r="G56" s="617"/>
      <c r="H56" s="617"/>
      <c r="I56" s="617"/>
      <c r="J56" s="617"/>
      <c r="K56" s="34">
        <f>0.5*K55</f>
        <v>1.8518518518518515E-4</v>
      </c>
      <c r="L56" s="12" t="e">
        <f t="shared" si="0"/>
        <v>#REF!</v>
      </c>
    </row>
    <row r="57" spans="2:12">
      <c r="B57" s="90" t="s">
        <v>12</v>
      </c>
      <c r="C57" s="617" t="s">
        <v>184</v>
      </c>
      <c r="D57" s="617"/>
      <c r="E57" s="617"/>
      <c r="F57" s="617"/>
      <c r="G57" s="617"/>
      <c r="H57" s="617"/>
      <c r="I57" s="617"/>
      <c r="J57" s="617"/>
      <c r="K57" s="34">
        <v>4.0000000000000002E-4</v>
      </c>
      <c r="L57" s="12" t="e">
        <f t="shared" si="0"/>
        <v>#REF!</v>
      </c>
    </row>
    <row r="58" spans="2:12">
      <c r="B58" s="90" t="s">
        <v>14</v>
      </c>
      <c r="C58" s="617" t="s">
        <v>183</v>
      </c>
      <c r="D58" s="617"/>
      <c r="E58" s="617"/>
      <c r="F58" s="617"/>
      <c r="G58" s="617"/>
      <c r="H58" s="617"/>
      <c r="I58" s="617"/>
      <c r="J58" s="617"/>
      <c r="K58" s="34">
        <f>K34*K57</f>
        <v>1.5075555555555558E-4</v>
      </c>
      <c r="L58" s="12" t="e">
        <f t="shared" si="0"/>
        <v>#REF!</v>
      </c>
    </row>
    <row r="59" spans="2:12">
      <c r="B59" s="90" t="s">
        <v>1</v>
      </c>
      <c r="C59" s="617" t="s">
        <v>185</v>
      </c>
      <c r="D59" s="617"/>
      <c r="E59" s="617"/>
      <c r="F59" s="617"/>
      <c r="G59" s="617"/>
      <c r="H59" s="617"/>
      <c r="I59" s="617"/>
      <c r="J59" s="617"/>
      <c r="K59" s="96">
        <f>0.5*0.08*K57</f>
        <v>1.6000000000000003E-5</v>
      </c>
      <c r="L59" s="12" t="e">
        <f t="shared" si="0"/>
        <v>#REF!</v>
      </c>
    </row>
    <row r="60" spans="2:12" ht="15" customHeight="1">
      <c r="B60" s="606" t="s">
        <v>181</v>
      </c>
      <c r="C60" s="607"/>
      <c r="D60" s="607"/>
      <c r="E60" s="607"/>
      <c r="F60" s="607"/>
      <c r="G60" s="607"/>
      <c r="H60" s="607"/>
      <c r="I60" s="607"/>
      <c r="J60" s="608"/>
      <c r="K60" s="101"/>
      <c r="L60" s="102" t="e">
        <f>SUM(L54:L59)</f>
        <v>#REF!</v>
      </c>
    </row>
    <row r="61" spans="2:12">
      <c r="B61" s="20"/>
      <c r="C61" s="16"/>
      <c r="D61" s="16"/>
      <c r="E61" s="20"/>
      <c r="F61" s="20"/>
      <c r="G61" s="20"/>
      <c r="H61" s="20"/>
      <c r="I61" s="21"/>
      <c r="J61" s="22"/>
      <c r="K61" s="20"/>
    </row>
    <row r="62" spans="2:12">
      <c r="B62" s="611" t="s">
        <v>186</v>
      </c>
      <c r="C62" s="611"/>
      <c r="D62" s="611"/>
      <c r="E62" s="611"/>
      <c r="F62" s="611"/>
      <c r="G62" s="611"/>
      <c r="H62" s="611"/>
      <c r="I62" s="611"/>
      <c r="J62" s="611"/>
      <c r="K62" s="97"/>
      <c r="L62" s="98"/>
    </row>
    <row r="63" spans="2:12">
      <c r="B63" s="612" t="s">
        <v>191</v>
      </c>
      <c r="C63" s="613"/>
      <c r="D63" s="613"/>
      <c r="E63" s="613"/>
      <c r="F63" s="613"/>
      <c r="G63" s="613"/>
      <c r="H63" s="613"/>
      <c r="I63" s="613"/>
      <c r="J63" s="613"/>
      <c r="K63" s="92" t="s">
        <v>9</v>
      </c>
      <c r="L63" s="12" t="s">
        <v>166</v>
      </c>
    </row>
    <row r="64" spans="2:12">
      <c r="B64" s="59" t="s">
        <v>4</v>
      </c>
      <c r="C64" s="629" t="s">
        <v>187</v>
      </c>
      <c r="D64" s="629"/>
      <c r="E64" s="629"/>
      <c r="F64" s="629"/>
      <c r="G64" s="629"/>
      <c r="H64" s="629"/>
      <c r="I64" s="629"/>
      <c r="J64" s="629"/>
      <c r="K64" s="41">
        <f>1/12</f>
        <v>8.3333333333333329E-2</v>
      </c>
      <c r="L64" s="12" t="e">
        <f t="shared" ref="L64:L69" si="1">K64*$L$17</f>
        <v>#REF!</v>
      </c>
    </row>
    <row r="65" spans="2:13">
      <c r="B65" s="59" t="s">
        <v>6</v>
      </c>
      <c r="C65" s="617" t="s">
        <v>188</v>
      </c>
      <c r="D65" s="617"/>
      <c r="E65" s="617"/>
      <c r="F65" s="617"/>
      <c r="G65" s="640" t="s">
        <v>29</v>
      </c>
      <c r="H65" s="640"/>
      <c r="I65" s="640"/>
      <c r="J65" s="42">
        <v>3</v>
      </c>
      <c r="K65" s="41">
        <f>J65/30/12</f>
        <v>8.3333333333333332E-3</v>
      </c>
      <c r="L65" s="12" t="e">
        <f t="shared" si="1"/>
        <v>#REF!</v>
      </c>
      <c r="M65" s="1" t="s">
        <v>168</v>
      </c>
    </row>
    <row r="66" spans="2:13">
      <c r="B66" s="59" t="s">
        <v>10</v>
      </c>
      <c r="C66" s="617" t="s">
        <v>30</v>
      </c>
      <c r="D66" s="617"/>
      <c r="E66" s="617"/>
      <c r="F66" s="617"/>
      <c r="G66" s="640" t="s">
        <v>28</v>
      </c>
      <c r="H66" s="640"/>
      <c r="I66" s="36">
        <v>1.4999999999999999E-2</v>
      </c>
      <c r="J66" s="43">
        <v>5</v>
      </c>
      <c r="K66" s="41">
        <f>J66/30/12*I66</f>
        <v>2.0833333333333332E-4</v>
      </c>
      <c r="L66" s="12" t="e">
        <f t="shared" si="1"/>
        <v>#REF!</v>
      </c>
    </row>
    <row r="67" spans="2:13">
      <c r="B67" s="59" t="s">
        <v>12</v>
      </c>
      <c r="C67" s="640" t="s">
        <v>189</v>
      </c>
      <c r="D67" s="640"/>
      <c r="E67" s="640"/>
      <c r="F67" s="42"/>
      <c r="G67" s="640" t="s">
        <v>28</v>
      </c>
      <c r="H67" s="640"/>
      <c r="I67" s="36">
        <v>7.7999999999999996E-3</v>
      </c>
      <c r="J67" s="44">
        <v>15</v>
      </c>
      <c r="K67" s="41">
        <f>J67/30/12*I67</f>
        <v>3.2499999999999999E-4</v>
      </c>
      <c r="L67" s="12" t="e">
        <f t="shared" si="1"/>
        <v>#REF!</v>
      </c>
    </row>
    <row r="68" spans="2:13">
      <c r="B68" s="59" t="s">
        <v>14</v>
      </c>
      <c r="C68" s="640" t="s">
        <v>190</v>
      </c>
      <c r="D68" s="640"/>
      <c r="E68" s="640"/>
      <c r="F68" s="42"/>
      <c r="G68" s="641"/>
      <c r="H68" s="640"/>
      <c r="I68" s="36"/>
      <c r="J68" s="44"/>
      <c r="K68" s="41">
        <v>6.1000000000000004E-3</v>
      </c>
      <c r="L68" s="12" t="e">
        <f t="shared" si="1"/>
        <v>#REF!</v>
      </c>
      <c r="M68" s="64" t="s">
        <v>168</v>
      </c>
    </row>
    <row r="69" spans="2:13">
      <c r="B69" s="59" t="s">
        <v>1</v>
      </c>
      <c r="C69" s="620" t="s">
        <v>0</v>
      </c>
      <c r="D69" s="620"/>
      <c r="E69" s="620" t="s">
        <v>31</v>
      </c>
      <c r="F69" s="620"/>
      <c r="G69" s="620"/>
      <c r="H69" s="620"/>
      <c r="I69" s="620"/>
      <c r="J69" s="620"/>
      <c r="K69" s="45"/>
      <c r="L69" s="12" t="e">
        <f t="shared" si="1"/>
        <v>#REF!</v>
      </c>
      <c r="M69" s="64"/>
    </row>
    <row r="70" spans="2:13">
      <c r="B70" s="614" t="s">
        <v>192</v>
      </c>
      <c r="C70" s="615"/>
      <c r="D70" s="615"/>
      <c r="E70" s="615"/>
      <c r="F70" s="615"/>
      <c r="G70" s="615"/>
      <c r="H70" s="615"/>
      <c r="I70" s="615"/>
      <c r="J70" s="616"/>
      <c r="K70" s="46"/>
      <c r="L70" s="12" t="e">
        <f>SUM(L64:L69)</f>
        <v>#REF!</v>
      </c>
    </row>
    <row r="71" spans="2:13">
      <c r="B71" s="93"/>
      <c r="C71" s="94"/>
      <c r="D71" s="94"/>
      <c r="E71" s="94"/>
      <c r="F71" s="94"/>
      <c r="G71" s="94"/>
      <c r="H71" s="94"/>
      <c r="I71" s="94"/>
      <c r="J71" s="95"/>
      <c r="K71" s="34"/>
      <c r="L71" s="12"/>
    </row>
    <row r="72" spans="2:13">
      <c r="B72" s="612" t="s">
        <v>193</v>
      </c>
      <c r="C72" s="613"/>
      <c r="D72" s="613"/>
      <c r="E72" s="613"/>
      <c r="F72" s="613"/>
      <c r="G72" s="613"/>
      <c r="H72" s="613"/>
      <c r="I72" s="613"/>
      <c r="J72" s="613"/>
      <c r="K72" s="92" t="s">
        <v>9</v>
      </c>
      <c r="L72" s="12" t="s">
        <v>166</v>
      </c>
    </row>
    <row r="73" spans="2:13">
      <c r="B73" s="90" t="s">
        <v>4</v>
      </c>
      <c r="C73" s="629" t="s">
        <v>194</v>
      </c>
      <c r="D73" s="629"/>
      <c r="E73" s="629"/>
      <c r="F73" s="629"/>
      <c r="G73" s="629"/>
      <c r="H73" s="629"/>
      <c r="I73" s="629"/>
      <c r="J73" s="629"/>
      <c r="K73" s="41">
        <v>0</v>
      </c>
      <c r="L73" s="12" t="e">
        <f>K73*$L$17</f>
        <v>#REF!</v>
      </c>
    </row>
    <row r="74" spans="2:13">
      <c r="B74" s="614" t="s">
        <v>195</v>
      </c>
      <c r="C74" s="615"/>
      <c r="D74" s="615"/>
      <c r="E74" s="615"/>
      <c r="F74" s="615"/>
      <c r="G74" s="615"/>
      <c r="H74" s="615"/>
      <c r="I74" s="615"/>
      <c r="J74" s="616"/>
      <c r="K74" s="46"/>
      <c r="L74" s="12" t="e">
        <f>SUM(L73:L73)</f>
        <v>#REF!</v>
      </c>
    </row>
    <row r="75" spans="2:13">
      <c r="B75" s="93"/>
      <c r="C75" s="94"/>
      <c r="D75" s="94"/>
      <c r="E75" s="94"/>
      <c r="F75" s="94"/>
      <c r="G75" s="94"/>
      <c r="H75" s="94"/>
      <c r="I75" s="94"/>
      <c r="J75" s="94"/>
      <c r="K75" s="99"/>
      <c r="L75" s="12"/>
    </row>
    <row r="76" spans="2:13">
      <c r="B76" s="602" t="s">
        <v>196</v>
      </c>
      <c r="C76" s="602"/>
      <c r="D76" s="602"/>
      <c r="E76" s="602"/>
      <c r="F76" s="602"/>
      <c r="G76" s="602"/>
      <c r="H76" s="602"/>
      <c r="I76" s="602"/>
      <c r="J76" s="602"/>
      <c r="K76" s="602"/>
      <c r="L76" s="7" t="e">
        <f>L34</f>
        <v>#REF!</v>
      </c>
    </row>
    <row r="77" spans="2:13">
      <c r="B77" s="90" t="s">
        <v>197</v>
      </c>
      <c r="C77" s="603" t="s">
        <v>188</v>
      </c>
      <c r="D77" s="604"/>
      <c r="E77" s="604"/>
      <c r="F77" s="604"/>
      <c r="G77" s="604"/>
      <c r="H77" s="604"/>
      <c r="I77" s="604"/>
      <c r="J77" s="605"/>
      <c r="K77" s="80"/>
      <c r="L77" s="12" t="e">
        <f>L70</f>
        <v>#REF!</v>
      </c>
    </row>
    <row r="78" spans="2:13">
      <c r="B78" s="90" t="s">
        <v>198</v>
      </c>
      <c r="C78" s="603" t="s">
        <v>199</v>
      </c>
      <c r="D78" s="604"/>
      <c r="E78" s="604"/>
      <c r="F78" s="604"/>
      <c r="G78" s="604"/>
      <c r="H78" s="604"/>
      <c r="I78" s="604"/>
      <c r="J78" s="605"/>
      <c r="K78" s="80"/>
      <c r="L78" s="12" t="e">
        <f>L74</f>
        <v>#REF!</v>
      </c>
    </row>
    <row r="79" spans="2:13">
      <c r="B79" s="606" t="s">
        <v>200</v>
      </c>
      <c r="C79" s="607"/>
      <c r="D79" s="607"/>
      <c r="E79" s="607"/>
      <c r="F79" s="607"/>
      <c r="G79" s="607"/>
      <c r="H79" s="607"/>
      <c r="I79" s="607"/>
      <c r="J79" s="608"/>
      <c r="K79" s="101"/>
      <c r="L79" s="102" t="e">
        <f>SUM(L77:L78)</f>
        <v>#REF!</v>
      </c>
    </row>
    <row r="80" spans="2:13">
      <c r="B80" s="609"/>
      <c r="C80" s="610"/>
      <c r="D80" s="610"/>
      <c r="E80" s="610"/>
      <c r="F80" s="610"/>
      <c r="G80" s="610"/>
      <c r="H80" s="610"/>
      <c r="I80" s="610"/>
      <c r="J80" s="610"/>
      <c r="K80" s="610"/>
      <c r="L80" s="610"/>
    </row>
    <row r="81" spans="2:13">
      <c r="B81" s="611" t="s">
        <v>201</v>
      </c>
      <c r="C81" s="611"/>
      <c r="D81" s="611"/>
      <c r="E81" s="611"/>
      <c r="F81" s="611"/>
      <c r="G81" s="611"/>
      <c r="H81" s="611"/>
      <c r="I81" s="611"/>
      <c r="J81" s="611"/>
      <c r="K81" s="97"/>
      <c r="L81" s="98"/>
      <c r="M81" s="23"/>
    </row>
    <row r="82" spans="2:13">
      <c r="B82" s="59" t="s">
        <v>4</v>
      </c>
      <c r="C82" s="630" t="s">
        <v>54</v>
      </c>
      <c r="D82" s="630"/>
      <c r="E82" s="630"/>
      <c r="F82" s="630"/>
      <c r="G82" s="630"/>
      <c r="H82" s="630"/>
      <c r="I82" s="630"/>
      <c r="J82" s="630"/>
      <c r="K82" s="630"/>
      <c r="L82" s="12" t="e">
        <f>#REF!</f>
        <v>#REF!</v>
      </c>
    </row>
    <row r="83" spans="2:13">
      <c r="B83" s="59" t="s">
        <v>6</v>
      </c>
      <c r="C83" s="631" t="s">
        <v>203</v>
      </c>
      <c r="D83" s="632"/>
      <c r="E83" s="633" t="s">
        <v>55</v>
      </c>
      <c r="F83" s="634"/>
      <c r="G83" s="634"/>
      <c r="H83" s="634"/>
      <c r="I83" s="635"/>
      <c r="J83" s="636">
        <v>0.12</v>
      </c>
      <c r="K83" s="637"/>
      <c r="L83" s="19" t="e">
        <f>(L17+L51+L60+L79+L82)/(1-J83)*J83</f>
        <v>#REF!</v>
      </c>
      <c r="M83" s="24"/>
    </row>
    <row r="84" spans="2:13">
      <c r="B84" s="91" t="s">
        <v>210</v>
      </c>
      <c r="C84" s="631" t="s">
        <v>211</v>
      </c>
      <c r="D84" s="632"/>
      <c r="E84" s="633"/>
      <c r="F84" s="634"/>
      <c r="G84" s="634"/>
      <c r="H84" s="634"/>
      <c r="I84" s="635"/>
      <c r="J84" s="657">
        <f>H95+H96</f>
        <v>9.2499999999999999E-2</v>
      </c>
      <c r="K84" s="658"/>
      <c r="L84" s="19" t="e">
        <f>-J84*L83</f>
        <v>#REF!</v>
      </c>
      <c r="M84" s="24"/>
    </row>
    <row r="85" spans="2:13">
      <c r="B85" s="90" t="s">
        <v>10</v>
      </c>
      <c r="C85" s="83" t="s">
        <v>202</v>
      </c>
      <c r="D85" s="84"/>
      <c r="E85" s="85"/>
      <c r="F85" s="86"/>
      <c r="G85" s="86"/>
      <c r="H85" s="86"/>
      <c r="I85" s="87"/>
      <c r="J85" s="88"/>
      <c r="K85" s="89"/>
      <c r="L85" s="19"/>
      <c r="M85" s="24"/>
    </row>
    <row r="86" spans="2:13">
      <c r="B86" s="59" t="s">
        <v>204</v>
      </c>
      <c r="C86" s="620" t="s">
        <v>0</v>
      </c>
      <c r="D86" s="620"/>
      <c r="E86" s="620"/>
      <c r="F86" s="620"/>
      <c r="G86" s="620"/>
      <c r="H86" s="620"/>
      <c r="I86" s="620"/>
      <c r="J86" s="620"/>
      <c r="K86" s="620"/>
      <c r="L86" s="19">
        <v>0</v>
      </c>
    </row>
    <row r="87" spans="2:13">
      <c r="B87" s="606" t="s">
        <v>207</v>
      </c>
      <c r="C87" s="607"/>
      <c r="D87" s="607"/>
      <c r="E87" s="607"/>
      <c r="F87" s="607"/>
      <c r="G87" s="607"/>
      <c r="H87" s="607"/>
      <c r="I87" s="607"/>
      <c r="J87" s="608"/>
      <c r="K87" s="101"/>
      <c r="L87" s="102" t="e">
        <f>SUM(L82:L86)</f>
        <v>#REF!</v>
      </c>
    </row>
    <row r="88" spans="2:13">
      <c r="B88" s="25"/>
      <c r="C88" s="25"/>
      <c r="D88" s="25"/>
      <c r="E88" s="25"/>
      <c r="F88" s="25"/>
      <c r="G88" s="25"/>
      <c r="H88" s="25"/>
      <c r="I88" s="37"/>
      <c r="J88" s="25"/>
      <c r="K88" s="25"/>
    </row>
    <row r="89" spans="2:13">
      <c r="B89" s="16"/>
      <c r="C89" s="16"/>
      <c r="D89" s="16"/>
      <c r="E89" s="16"/>
      <c r="F89" s="16"/>
      <c r="G89" s="16"/>
      <c r="H89" s="48"/>
      <c r="I89" s="48"/>
      <c r="J89" s="48"/>
      <c r="K89" s="48"/>
      <c r="L89" s="49"/>
    </row>
    <row r="90" spans="2:13">
      <c r="B90" s="611" t="s">
        <v>205</v>
      </c>
      <c r="C90" s="611"/>
      <c r="D90" s="611"/>
      <c r="E90" s="611"/>
      <c r="F90" s="611"/>
      <c r="G90" s="611"/>
      <c r="H90" s="611"/>
      <c r="I90" s="611"/>
      <c r="J90" s="611"/>
      <c r="K90" s="97"/>
      <c r="L90" s="98" t="str">
        <f>L5</f>
        <v>SERVENTE</v>
      </c>
    </row>
    <row r="91" spans="2:13">
      <c r="B91" s="59" t="s">
        <v>4</v>
      </c>
      <c r="C91" s="629" t="s">
        <v>206</v>
      </c>
      <c r="D91" s="629"/>
      <c r="E91" s="629"/>
      <c r="F91" s="629"/>
      <c r="G91" s="629"/>
      <c r="H91" s="629"/>
      <c r="I91" s="629"/>
      <c r="J91" s="629"/>
      <c r="K91" s="65">
        <v>0.05</v>
      </c>
      <c r="L91" s="28" t="e">
        <f>K91*L110</f>
        <v>#REF!</v>
      </c>
      <c r="M91" s="50"/>
    </row>
    <row r="92" spans="2:13">
      <c r="B92" s="59" t="s">
        <v>6</v>
      </c>
      <c r="C92" s="629" t="s">
        <v>32</v>
      </c>
      <c r="D92" s="629"/>
      <c r="E92" s="629"/>
      <c r="F92" s="629"/>
      <c r="G92" s="629"/>
      <c r="H92" s="629"/>
      <c r="I92" s="629"/>
      <c r="J92" s="629"/>
      <c r="K92" s="65">
        <v>6.8099999999999994E-2</v>
      </c>
      <c r="L92" s="28" t="e">
        <f>K92*L110</f>
        <v>#REF!</v>
      </c>
      <c r="M92" s="50"/>
    </row>
    <row r="93" spans="2:13">
      <c r="B93" s="645" t="s">
        <v>10</v>
      </c>
      <c r="C93" s="646" t="s">
        <v>33</v>
      </c>
      <c r="D93" s="647"/>
      <c r="E93" s="647"/>
      <c r="F93" s="647"/>
      <c r="G93" s="647"/>
      <c r="H93" s="647"/>
      <c r="I93" s="648"/>
      <c r="J93" s="649" t="e">
        <f>L110+L91+L92</f>
        <v>#REF!</v>
      </c>
      <c r="K93" s="650"/>
      <c r="L93" s="47"/>
    </row>
    <row r="94" spans="2:13">
      <c r="B94" s="645"/>
      <c r="C94" s="651" t="s">
        <v>34</v>
      </c>
      <c r="D94" s="652"/>
      <c r="E94" s="652"/>
      <c r="F94" s="653"/>
      <c r="G94" s="40"/>
      <c r="H94" s="40" t="s">
        <v>35</v>
      </c>
      <c r="I94" s="40"/>
      <c r="J94" s="654"/>
      <c r="K94" s="655"/>
      <c r="L94" s="47"/>
    </row>
    <row r="95" spans="2:13">
      <c r="B95" s="645"/>
      <c r="C95" s="642" t="s">
        <v>36</v>
      </c>
      <c r="D95" s="642"/>
      <c r="E95" s="642"/>
      <c r="F95" s="642"/>
      <c r="G95" s="66" t="s">
        <v>37</v>
      </c>
      <c r="H95" s="35">
        <v>1.6500000000000001E-2</v>
      </c>
      <c r="I95" s="656">
        <f>SUM(H95:H100)</f>
        <v>0.13250000000000001</v>
      </c>
      <c r="J95" s="643" t="e">
        <f t="shared" ref="J95:J100" si="2">ROUND($L$112*H95,2)</f>
        <v>#REF!</v>
      </c>
      <c r="K95" s="644"/>
      <c r="L95" s="671" t="e">
        <f>SUM(J95:K100)</f>
        <v>#REF!</v>
      </c>
    </row>
    <row r="96" spans="2:13">
      <c r="B96" s="645"/>
      <c r="C96" s="642"/>
      <c r="D96" s="642"/>
      <c r="E96" s="642"/>
      <c r="F96" s="642"/>
      <c r="G96" s="66" t="s">
        <v>38</v>
      </c>
      <c r="H96" s="35">
        <v>7.5999999999999998E-2</v>
      </c>
      <c r="I96" s="656"/>
      <c r="J96" s="643" t="e">
        <f t="shared" si="2"/>
        <v>#REF!</v>
      </c>
      <c r="K96" s="644"/>
      <c r="L96" s="672"/>
    </row>
    <row r="97" spans="2:12">
      <c r="B97" s="645"/>
      <c r="C97" s="642"/>
      <c r="D97" s="642"/>
      <c r="E97" s="642"/>
      <c r="F97" s="642"/>
      <c r="G97" s="66" t="s">
        <v>39</v>
      </c>
      <c r="H97" s="35">
        <v>0</v>
      </c>
      <c r="I97" s="656"/>
      <c r="J97" s="643" t="e">
        <f t="shared" si="2"/>
        <v>#REF!</v>
      </c>
      <c r="K97" s="644"/>
      <c r="L97" s="672"/>
    </row>
    <row r="98" spans="2:12">
      <c r="B98" s="645"/>
      <c r="C98" s="642" t="s">
        <v>40</v>
      </c>
      <c r="D98" s="642"/>
      <c r="E98" s="642"/>
      <c r="F98" s="642"/>
      <c r="G98" s="67" t="s">
        <v>41</v>
      </c>
      <c r="H98" s="35">
        <v>0.04</v>
      </c>
      <c r="I98" s="656"/>
      <c r="J98" s="643" t="e">
        <f t="shared" si="2"/>
        <v>#REF!</v>
      </c>
      <c r="K98" s="644"/>
      <c r="L98" s="672"/>
    </row>
    <row r="99" spans="2:12">
      <c r="B99" s="645"/>
      <c r="C99" s="642"/>
      <c r="D99" s="642"/>
      <c r="E99" s="642"/>
      <c r="F99" s="642"/>
      <c r="G99" s="67" t="s">
        <v>39</v>
      </c>
      <c r="H99" s="35">
        <v>0</v>
      </c>
      <c r="I99" s="656"/>
      <c r="J99" s="643" t="e">
        <f t="shared" si="2"/>
        <v>#REF!</v>
      </c>
      <c r="K99" s="644"/>
      <c r="L99" s="672"/>
    </row>
    <row r="100" spans="2:12">
      <c r="B100" s="645"/>
      <c r="C100" s="642" t="s">
        <v>42</v>
      </c>
      <c r="D100" s="642"/>
      <c r="E100" s="642"/>
      <c r="F100" s="642"/>
      <c r="G100" s="67"/>
      <c r="H100" s="35">
        <v>0</v>
      </c>
      <c r="I100" s="656"/>
      <c r="J100" s="643" t="e">
        <f t="shared" si="2"/>
        <v>#REF!</v>
      </c>
      <c r="K100" s="644"/>
      <c r="L100" s="673"/>
    </row>
    <row r="101" spans="2:12">
      <c r="B101" s="645" t="s">
        <v>43</v>
      </c>
      <c r="C101" s="645"/>
      <c r="D101" s="645"/>
      <c r="E101" s="645"/>
      <c r="F101" s="645"/>
      <c r="G101" s="645"/>
      <c r="H101" s="645"/>
      <c r="I101" s="645"/>
      <c r="J101" s="645"/>
      <c r="K101" s="645"/>
      <c r="L101" s="60" t="e">
        <f>L95+L92+L91</f>
        <v>#REF!</v>
      </c>
    </row>
    <row r="102" spans="2:12">
      <c r="B102" s="51"/>
      <c r="C102" s="51"/>
      <c r="D102" s="51"/>
      <c r="E102" s="51"/>
      <c r="F102" s="51"/>
      <c r="G102" s="51"/>
      <c r="H102" s="51"/>
      <c r="I102" s="52"/>
      <c r="J102" s="53"/>
      <c r="K102" s="51"/>
    </row>
    <row r="103" spans="2:12">
      <c r="B103" s="670" t="s">
        <v>44</v>
      </c>
      <c r="C103" s="670"/>
      <c r="D103" s="670"/>
      <c r="E103" s="670"/>
      <c r="F103" s="670"/>
      <c r="G103" s="670"/>
      <c r="H103" s="670"/>
      <c r="I103" s="670"/>
      <c r="J103" s="670"/>
      <c r="K103" s="670"/>
      <c r="L103" s="670"/>
    </row>
    <row r="104" spans="2:12">
      <c r="B104" s="665" t="s">
        <v>45</v>
      </c>
      <c r="C104" s="665"/>
      <c r="D104" s="665"/>
      <c r="E104" s="665"/>
      <c r="F104" s="665"/>
      <c r="G104" s="665"/>
      <c r="H104" s="665"/>
      <c r="I104" s="665"/>
      <c r="J104" s="665"/>
      <c r="K104" s="665"/>
      <c r="L104" s="7" t="str">
        <f>L5</f>
        <v>SERVENTE</v>
      </c>
    </row>
    <row r="105" spans="2:12">
      <c r="B105" s="59" t="s">
        <v>4</v>
      </c>
      <c r="C105" s="629" t="str">
        <f>B6</f>
        <v xml:space="preserve">MÓDULO 01 – Composição da Remuneração </v>
      </c>
      <c r="D105" s="629"/>
      <c r="E105" s="629"/>
      <c r="F105" s="629"/>
      <c r="G105" s="629"/>
      <c r="H105" s="629"/>
      <c r="I105" s="629"/>
      <c r="J105" s="629"/>
      <c r="K105" s="629"/>
      <c r="L105" s="54" t="e">
        <f>L17</f>
        <v>#REF!</v>
      </c>
    </row>
    <row r="106" spans="2:12">
      <c r="B106" s="59" t="s">
        <v>6</v>
      </c>
      <c r="C106" s="629" t="str">
        <f>B19</f>
        <v>MÓDULO 2 – ENCARGOS E BENEFÍCIOS ANUAIS, MENSAIS E DIÁRIOS</v>
      </c>
      <c r="D106" s="629"/>
      <c r="E106" s="629"/>
      <c r="F106" s="629"/>
      <c r="G106" s="629"/>
      <c r="H106" s="629"/>
      <c r="I106" s="629"/>
      <c r="J106" s="629"/>
      <c r="K106" s="629"/>
      <c r="L106" s="54" t="e">
        <f>L51</f>
        <v>#REF!</v>
      </c>
    </row>
    <row r="107" spans="2:12">
      <c r="B107" s="59" t="s">
        <v>10</v>
      </c>
      <c r="C107" s="629" t="str">
        <f>B53</f>
        <v>MÓDULO 3 – PROVISÃO PARA RESCISÃO</v>
      </c>
      <c r="D107" s="629"/>
      <c r="E107" s="629"/>
      <c r="F107" s="629"/>
      <c r="G107" s="629"/>
      <c r="H107" s="629"/>
      <c r="I107" s="629"/>
      <c r="J107" s="629"/>
      <c r="K107" s="629"/>
      <c r="L107" s="54" t="e">
        <f>L60</f>
        <v>#REF!</v>
      </c>
    </row>
    <row r="108" spans="2:12">
      <c r="B108" s="59" t="s">
        <v>12</v>
      </c>
      <c r="C108" s="629" t="str">
        <f>B62</f>
        <v>MÓDULO 4 – CUSTO DE REPOSIÇÃO DO PROFISSIONAL AUSENTE</v>
      </c>
      <c r="D108" s="629"/>
      <c r="E108" s="629"/>
      <c r="F108" s="629"/>
      <c r="G108" s="629"/>
      <c r="H108" s="629"/>
      <c r="I108" s="629"/>
      <c r="J108" s="629"/>
      <c r="K108" s="629"/>
      <c r="L108" s="54" t="e">
        <f>L79</f>
        <v>#REF!</v>
      </c>
    </row>
    <row r="109" spans="2:12">
      <c r="B109" s="90" t="s">
        <v>14</v>
      </c>
      <c r="C109" s="629" t="str">
        <f>B81</f>
        <v>MÓDULO 5 – INSUMOS DIVERSOS</v>
      </c>
      <c r="D109" s="629"/>
      <c r="E109" s="629"/>
      <c r="F109" s="629"/>
      <c r="G109" s="629"/>
      <c r="H109" s="629"/>
      <c r="I109" s="629"/>
      <c r="J109" s="629"/>
      <c r="K109" s="629"/>
      <c r="L109" s="54" t="e">
        <f>L87</f>
        <v>#REF!</v>
      </c>
    </row>
    <row r="110" spans="2:12">
      <c r="B110" s="665" t="s">
        <v>209</v>
      </c>
      <c r="C110" s="665"/>
      <c r="D110" s="665"/>
      <c r="E110" s="665"/>
      <c r="F110" s="665"/>
      <c r="G110" s="665"/>
      <c r="H110" s="665"/>
      <c r="I110" s="665"/>
      <c r="J110" s="665"/>
      <c r="K110" s="665"/>
      <c r="L110" s="61" t="e">
        <f>SUM(L105:L109)</f>
        <v>#REF!</v>
      </c>
    </row>
    <row r="111" spans="2:12">
      <c r="B111" s="59" t="s">
        <v>14</v>
      </c>
      <c r="C111" s="629" t="s">
        <v>46</v>
      </c>
      <c r="D111" s="629"/>
      <c r="E111" s="629"/>
      <c r="F111" s="629"/>
      <c r="G111" s="629"/>
      <c r="H111" s="629"/>
      <c r="I111" s="629"/>
      <c r="J111" s="629"/>
      <c r="K111" s="629"/>
      <c r="L111" s="55" t="e">
        <f>L112-L110</f>
        <v>#REF!</v>
      </c>
    </row>
    <row r="112" spans="2:12">
      <c r="B112" s="666" t="s">
        <v>47</v>
      </c>
      <c r="C112" s="666"/>
      <c r="D112" s="666"/>
      <c r="E112" s="666"/>
      <c r="F112" s="666"/>
      <c r="G112" s="666"/>
      <c r="H112" s="666"/>
      <c r="I112" s="666"/>
      <c r="J112" s="666"/>
      <c r="K112" s="666"/>
      <c r="L112" s="62" t="e">
        <f>ROUND(J93/(1-$I$95),2)</f>
        <v>#REF!</v>
      </c>
    </row>
    <row r="113" spans="6:12">
      <c r="K113" s="50"/>
    </row>
    <row r="115" spans="6:12">
      <c r="F115" s="667" t="s">
        <v>48</v>
      </c>
      <c r="G115" s="668"/>
      <c r="H115" s="668"/>
      <c r="I115" s="669"/>
      <c r="J115" s="1"/>
      <c r="L115" s="1"/>
    </row>
    <row r="116" spans="6:12">
      <c r="F116" s="667" t="s">
        <v>49</v>
      </c>
      <c r="G116" s="668"/>
      <c r="H116" s="669"/>
      <c r="I116" s="56" t="s">
        <v>9</v>
      </c>
      <c r="J116" s="1"/>
      <c r="L116" s="1"/>
    </row>
    <row r="117" spans="6:12">
      <c r="F117" s="57" t="s">
        <v>50</v>
      </c>
      <c r="G117" s="57"/>
      <c r="H117" s="58"/>
      <c r="I117" s="58">
        <f>K91</f>
        <v>0.05</v>
      </c>
      <c r="J117" s="1"/>
      <c r="L117" s="1"/>
    </row>
    <row r="118" spans="6:12">
      <c r="F118" s="659" t="s">
        <v>32</v>
      </c>
      <c r="G118" s="660"/>
      <c r="H118" s="661"/>
      <c r="I118" s="58">
        <f>K92</f>
        <v>6.8099999999999994E-2</v>
      </c>
      <c r="J118" s="1"/>
      <c r="L118" s="1"/>
    </row>
    <row r="119" spans="6:12">
      <c r="F119" s="57" t="s">
        <v>51</v>
      </c>
      <c r="G119" s="57"/>
      <c r="H119" s="58"/>
      <c r="I119" s="58">
        <f>I95</f>
        <v>0.13250000000000001</v>
      </c>
      <c r="J119" s="1"/>
      <c r="L119" s="1"/>
    </row>
    <row r="120" spans="6:12">
      <c r="F120" s="662" t="s">
        <v>52</v>
      </c>
      <c r="G120" s="663"/>
      <c r="H120" s="664"/>
      <c r="I120" s="58">
        <f>(1+I117)*(1+I118)/(1-I119)-1</f>
        <v>0.29280115273775253</v>
      </c>
      <c r="J120" s="1"/>
      <c r="L120" s="1"/>
    </row>
  </sheetData>
  <mergeCells count="126">
    <mergeCell ref="C84:D84"/>
    <mergeCell ref="E84:I84"/>
    <mergeCell ref="J84:K84"/>
    <mergeCell ref="F118:H118"/>
    <mergeCell ref="F120:H120"/>
    <mergeCell ref="C108:K108"/>
    <mergeCell ref="B110:K110"/>
    <mergeCell ref="C111:K111"/>
    <mergeCell ref="B112:K112"/>
    <mergeCell ref="F115:I115"/>
    <mergeCell ref="F116:H116"/>
    <mergeCell ref="B101:K101"/>
    <mergeCell ref="B103:L103"/>
    <mergeCell ref="B104:K104"/>
    <mergeCell ref="C105:K105"/>
    <mergeCell ref="C106:K106"/>
    <mergeCell ref="C107:K107"/>
    <mergeCell ref="C109:K109"/>
    <mergeCell ref="L95:L100"/>
    <mergeCell ref="J96:K96"/>
    <mergeCell ref="J97:K97"/>
    <mergeCell ref="C98:F99"/>
    <mergeCell ref="J98:K98"/>
    <mergeCell ref="J99:K99"/>
    <mergeCell ref="C100:F100"/>
    <mergeCell ref="J100:K100"/>
    <mergeCell ref="B93:B100"/>
    <mergeCell ref="C93:I93"/>
    <mergeCell ref="J93:K93"/>
    <mergeCell ref="C94:F94"/>
    <mergeCell ref="J94:K94"/>
    <mergeCell ref="C95:F97"/>
    <mergeCell ref="I95:I100"/>
    <mergeCell ref="J95:K95"/>
    <mergeCell ref="C91:J91"/>
    <mergeCell ref="C92:J92"/>
    <mergeCell ref="B72:J72"/>
    <mergeCell ref="C73:J73"/>
    <mergeCell ref="C78:J78"/>
    <mergeCell ref="B74:J74"/>
    <mergeCell ref="B62:J62"/>
    <mergeCell ref="C64:J64"/>
    <mergeCell ref="B53:J53"/>
    <mergeCell ref="C54:H54"/>
    <mergeCell ref="C65:F65"/>
    <mergeCell ref="G65:I65"/>
    <mergeCell ref="C66:F66"/>
    <mergeCell ref="G66:H66"/>
    <mergeCell ref="G68:H68"/>
    <mergeCell ref="C69:J69"/>
    <mergeCell ref="C58:H58"/>
    <mergeCell ref="I58:J58"/>
    <mergeCell ref="C59:H59"/>
    <mergeCell ref="I59:J59"/>
    <mergeCell ref="G67:H67"/>
    <mergeCell ref="C67:E67"/>
    <mergeCell ref="C68:E68"/>
    <mergeCell ref="B70:J70"/>
    <mergeCell ref="B63:J63"/>
    <mergeCell ref="C29:J29"/>
    <mergeCell ref="C30:J30"/>
    <mergeCell ref="C32:F32"/>
    <mergeCell ref="C33:J33"/>
    <mergeCell ref="C31:D31"/>
    <mergeCell ref="E31:F31"/>
    <mergeCell ref="G31:J31"/>
    <mergeCell ref="C57:H57"/>
    <mergeCell ref="I57:J57"/>
    <mergeCell ref="B52:L52"/>
    <mergeCell ref="B2:L2"/>
    <mergeCell ref="B3:L4"/>
    <mergeCell ref="B6:L6"/>
    <mergeCell ref="C7:K7"/>
    <mergeCell ref="C9:E9"/>
    <mergeCell ref="F9:I9"/>
    <mergeCell ref="C8:K8"/>
    <mergeCell ref="C86:K86"/>
    <mergeCell ref="C26:J26"/>
    <mergeCell ref="C27:J27"/>
    <mergeCell ref="C44:K44"/>
    <mergeCell ref="C82:K82"/>
    <mergeCell ref="C83:D83"/>
    <mergeCell ref="E83:I83"/>
    <mergeCell ref="J83:K83"/>
    <mergeCell ref="B47:K47"/>
    <mergeCell ref="C48:J48"/>
    <mergeCell ref="C49:J49"/>
    <mergeCell ref="C50:J50"/>
    <mergeCell ref="B51:J51"/>
    <mergeCell ref="B60:J60"/>
    <mergeCell ref="C55:H55"/>
    <mergeCell ref="I55:J55"/>
    <mergeCell ref="C56:H56"/>
    <mergeCell ref="C10:I10"/>
    <mergeCell ref="C11:I11"/>
    <mergeCell ref="C12:I12"/>
    <mergeCell ref="C13:I13"/>
    <mergeCell ref="B19:K19"/>
    <mergeCell ref="C14:I14"/>
    <mergeCell ref="C15:K15"/>
    <mergeCell ref="C16:K16"/>
    <mergeCell ref="B17:K17"/>
    <mergeCell ref="B76:K76"/>
    <mergeCell ref="C77:J77"/>
    <mergeCell ref="B79:J79"/>
    <mergeCell ref="B80:L80"/>
    <mergeCell ref="B81:J81"/>
    <mergeCell ref="B90:J90"/>
    <mergeCell ref="B87:J87"/>
    <mergeCell ref="B20:J20"/>
    <mergeCell ref="B23:J23"/>
    <mergeCell ref="C21:J21"/>
    <mergeCell ref="C22:J22"/>
    <mergeCell ref="B25:J25"/>
    <mergeCell ref="B34:J34"/>
    <mergeCell ref="B36:J36"/>
    <mergeCell ref="C37:J37"/>
    <mergeCell ref="C38:J38"/>
    <mergeCell ref="C39:J39"/>
    <mergeCell ref="C40:J40"/>
    <mergeCell ref="C41:J41"/>
    <mergeCell ref="C42:J42"/>
    <mergeCell ref="C43:J43"/>
    <mergeCell ref="B45:J45"/>
    <mergeCell ref="I56:J56"/>
    <mergeCell ref="C28:J28"/>
  </mergeCells>
  <pageMargins left="0.511811024" right="0.511811024" top="0.78740157499999996" bottom="0.78740157499999996" header="0.31496062000000002" footer="0.31496062000000002"/>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T120"/>
  <sheetViews>
    <sheetView workbookViewId="0">
      <selection activeCell="G85" sqref="G85"/>
    </sheetView>
  </sheetViews>
  <sheetFormatPr defaultColWidth="11.85546875" defaultRowHeight="15"/>
  <cols>
    <col min="1" max="1" width="6.28515625" style="1" customWidth="1"/>
    <col min="2" max="2" width="4.5703125" style="1" customWidth="1"/>
    <col min="3" max="3" width="9" style="1" customWidth="1"/>
    <col min="4" max="4" width="25" style="1" customWidth="1"/>
    <col min="5" max="5" width="4.7109375" style="1" bestFit="1" customWidth="1"/>
    <col min="6" max="6" width="9" style="1" bestFit="1" customWidth="1"/>
    <col min="7" max="7" width="10.42578125" style="1" customWidth="1"/>
    <col min="8" max="8" width="10.7109375" style="1" customWidth="1"/>
    <col min="9" max="9" width="16.7109375" style="32" customWidth="1"/>
    <col min="10" max="10" width="9" style="33" bestFit="1" customWidth="1"/>
    <col min="11" max="11" width="9.140625" style="1" bestFit="1" customWidth="1"/>
    <col min="12" max="12" width="12.7109375" style="18" bestFit="1" customWidth="1"/>
    <col min="13" max="13" width="13.28515625" style="1" bestFit="1" customWidth="1"/>
    <col min="14" max="16384" width="11.85546875" style="1"/>
  </cols>
  <sheetData>
    <row r="2" spans="2:13">
      <c r="B2" s="622" t="s">
        <v>2</v>
      </c>
      <c r="C2" s="622"/>
      <c r="D2" s="622"/>
      <c r="E2" s="622"/>
      <c r="F2" s="622"/>
      <c r="G2" s="622"/>
      <c r="H2" s="622"/>
      <c r="I2" s="622"/>
      <c r="J2" s="622"/>
      <c r="K2" s="622"/>
      <c r="L2" s="622"/>
    </row>
    <row r="3" spans="2:13" s="2" customFormat="1">
      <c r="B3" s="623" t="e">
        <f>#REF!</f>
        <v>#REF!</v>
      </c>
      <c r="C3" s="624"/>
      <c r="D3" s="624"/>
      <c r="E3" s="624"/>
      <c r="F3" s="624"/>
      <c r="G3" s="624"/>
      <c r="H3" s="624"/>
      <c r="I3" s="624"/>
      <c r="J3" s="624"/>
      <c r="K3" s="624"/>
      <c r="L3" s="625"/>
    </row>
    <row r="4" spans="2:13" s="2" customFormat="1">
      <c r="B4" s="626"/>
      <c r="C4" s="627"/>
      <c r="D4" s="627"/>
      <c r="E4" s="627"/>
      <c r="F4" s="627"/>
      <c r="G4" s="627"/>
      <c r="H4" s="627"/>
      <c r="I4" s="627"/>
      <c r="J4" s="627"/>
      <c r="K4" s="627"/>
      <c r="L4" s="628"/>
    </row>
    <row r="5" spans="2:13">
      <c r="B5" s="3"/>
      <c r="C5" s="4"/>
      <c r="D5" s="4"/>
      <c r="E5" s="4"/>
      <c r="F5" s="4"/>
      <c r="G5" s="4"/>
      <c r="H5" s="4"/>
      <c r="I5" s="5"/>
      <c r="J5" s="4"/>
      <c r="K5" s="6"/>
      <c r="L5" s="7" t="s">
        <v>53</v>
      </c>
    </row>
    <row r="6" spans="2:13">
      <c r="B6" s="611" t="s">
        <v>3</v>
      </c>
      <c r="C6" s="611"/>
      <c r="D6" s="611"/>
      <c r="E6" s="611"/>
      <c r="F6" s="611"/>
      <c r="G6" s="611"/>
      <c r="H6" s="611"/>
      <c r="I6" s="611"/>
      <c r="J6" s="611"/>
      <c r="K6" s="611"/>
      <c r="L6" s="611"/>
    </row>
    <row r="7" spans="2:13">
      <c r="B7" s="59" t="s">
        <v>4</v>
      </c>
      <c r="C7" s="629" t="s">
        <v>5</v>
      </c>
      <c r="D7" s="629"/>
      <c r="E7" s="629"/>
      <c r="F7" s="629"/>
      <c r="G7" s="629"/>
      <c r="H7" s="629"/>
      <c r="I7" s="629"/>
      <c r="J7" s="629"/>
      <c r="K7" s="629"/>
      <c r="L7" s="9" t="e">
        <f>#REF!</f>
        <v>#REF!</v>
      </c>
    </row>
    <row r="8" spans="2:13">
      <c r="B8" s="79" t="s">
        <v>154</v>
      </c>
      <c r="C8" s="629" t="s">
        <v>155</v>
      </c>
      <c r="D8" s="629"/>
      <c r="E8" s="629"/>
      <c r="F8" s="629"/>
      <c r="G8" s="629"/>
      <c r="H8" s="629"/>
      <c r="I8" s="629"/>
      <c r="J8" s="629"/>
      <c r="K8" s="629"/>
      <c r="L8" s="9"/>
    </row>
    <row r="9" spans="2:13">
      <c r="B9" s="59" t="s">
        <v>6</v>
      </c>
      <c r="C9" s="629" t="s">
        <v>7</v>
      </c>
      <c r="D9" s="629"/>
      <c r="E9" s="629"/>
      <c r="F9" s="617" t="s">
        <v>8</v>
      </c>
      <c r="G9" s="617"/>
      <c r="H9" s="617"/>
      <c r="I9" s="617"/>
      <c r="J9" s="10" t="s">
        <v>9</v>
      </c>
      <c r="K9" s="11">
        <v>0</v>
      </c>
      <c r="L9" s="12">
        <v>0</v>
      </c>
      <c r="M9" s="13"/>
    </row>
    <row r="10" spans="2:13">
      <c r="B10" s="90" t="s">
        <v>10</v>
      </c>
      <c r="C10" s="603" t="s">
        <v>160</v>
      </c>
      <c r="D10" s="604"/>
      <c r="E10" s="604"/>
      <c r="F10" s="604"/>
      <c r="G10" s="604"/>
      <c r="H10" s="604"/>
      <c r="I10" s="605"/>
      <c r="J10" s="10" t="s">
        <v>9</v>
      </c>
      <c r="K10" s="11">
        <v>0</v>
      </c>
      <c r="L10" s="12">
        <v>0</v>
      </c>
      <c r="M10" s="13"/>
    </row>
    <row r="11" spans="2:13">
      <c r="B11" s="90" t="s">
        <v>12</v>
      </c>
      <c r="C11" s="603" t="s">
        <v>157</v>
      </c>
      <c r="D11" s="604"/>
      <c r="E11" s="604"/>
      <c r="F11" s="604"/>
      <c r="G11" s="604"/>
      <c r="H11" s="604"/>
      <c r="I11" s="605"/>
      <c r="J11" s="10" t="s">
        <v>9</v>
      </c>
      <c r="K11" s="11">
        <v>0</v>
      </c>
      <c r="L11" s="12">
        <v>0</v>
      </c>
      <c r="M11" s="13"/>
    </row>
    <row r="12" spans="2:13">
      <c r="B12" s="90" t="s">
        <v>14</v>
      </c>
      <c r="C12" s="603" t="s">
        <v>158</v>
      </c>
      <c r="D12" s="604"/>
      <c r="E12" s="604"/>
      <c r="F12" s="604"/>
      <c r="G12" s="604"/>
      <c r="H12" s="604"/>
      <c r="I12" s="605"/>
      <c r="J12" s="10" t="s">
        <v>9</v>
      </c>
      <c r="K12" s="11">
        <v>0</v>
      </c>
      <c r="L12" s="12">
        <v>0</v>
      </c>
      <c r="M12" s="13"/>
    </row>
    <row r="13" spans="2:13">
      <c r="B13" s="90" t="s">
        <v>1</v>
      </c>
      <c r="C13" s="603" t="s">
        <v>159</v>
      </c>
      <c r="D13" s="604"/>
      <c r="E13" s="604"/>
      <c r="F13" s="604"/>
      <c r="G13" s="604"/>
      <c r="H13" s="604"/>
      <c r="I13" s="605"/>
      <c r="J13" s="10" t="s">
        <v>9</v>
      </c>
      <c r="K13" s="11">
        <v>0</v>
      </c>
      <c r="L13" s="12">
        <v>0</v>
      </c>
      <c r="M13" s="13"/>
    </row>
    <row r="14" spans="2:13">
      <c r="B14" s="90" t="s">
        <v>15</v>
      </c>
      <c r="C14" s="618" t="s">
        <v>11</v>
      </c>
      <c r="D14" s="618"/>
      <c r="E14" s="618"/>
      <c r="F14" s="618"/>
      <c r="G14" s="618"/>
      <c r="H14" s="618"/>
      <c r="I14" s="618"/>
      <c r="J14" s="10" t="s">
        <v>9</v>
      </c>
      <c r="K14" s="14">
        <v>0</v>
      </c>
      <c r="L14" s="12">
        <v>0</v>
      </c>
      <c r="M14" s="13"/>
    </row>
    <row r="15" spans="2:13">
      <c r="B15" s="90" t="s">
        <v>16</v>
      </c>
      <c r="C15" s="619" t="s">
        <v>13</v>
      </c>
      <c r="D15" s="619"/>
      <c r="E15" s="619"/>
      <c r="F15" s="619"/>
      <c r="G15" s="619"/>
      <c r="H15" s="619"/>
      <c r="I15" s="619"/>
      <c r="J15" s="619"/>
      <c r="K15" s="619"/>
      <c r="L15" s="12">
        <v>0</v>
      </c>
      <c r="M15" s="13"/>
    </row>
    <row r="16" spans="2:13">
      <c r="B16" s="90" t="s">
        <v>156</v>
      </c>
      <c r="C16" s="620" t="s">
        <v>0</v>
      </c>
      <c r="D16" s="620"/>
      <c r="E16" s="620"/>
      <c r="F16" s="620"/>
      <c r="G16" s="620"/>
      <c r="H16" s="620"/>
      <c r="I16" s="620"/>
      <c r="J16" s="620"/>
      <c r="K16" s="620"/>
      <c r="L16" s="12"/>
      <c r="M16" s="13"/>
    </row>
    <row r="17" spans="2:13">
      <c r="B17" s="621" t="s">
        <v>208</v>
      </c>
      <c r="C17" s="621"/>
      <c r="D17" s="621"/>
      <c r="E17" s="621"/>
      <c r="F17" s="621"/>
      <c r="G17" s="621"/>
      <c r="H17" s="621"/>
      <c r="I17" s="621"/>
      <c r="J17" s="621"/>
      <c r="K17" s="621"/>
      <c r="L17" s="100" t="e">
        <f>SUM(L7:L16)</f>
        <v>#REF!</v>
      </c>
      <c r="M17" s="15"/>
    </row>
    <row r="18" spans="2:13">
      <c r="B18" s="16"/>
      <c r="C18" s="16"/>
      <c r="D18" s="16"/>
      <c r="E18" s="16"/>
      <c r="F18" s="16"/>
      <c r="G18" s="16"/>
      <c r="H18" s="16"/>
      <c r="I18" s="17"/>
      <c r="J18" s="16"/>
      <c r="K18" s="16"/>
    </row>
    <row r="19" spans="2:13">
      <c r="B19" s="611" t="s">
        <v>161</v>
      </c>
      <c r="C19" s="611"/>
      <c r="D19" s="611"/>
      <c r="E19" s="611"/>
      <c r="F19" s="611"/>
      <c r="G19" s="611"/>
      <c r="H19" s="611"/>
      <c r="I19" s="611"/>
      <c r="J19" s="611"/>
      <c r="K19" s="611"/>
      <c r="L19" s="7" t="str">
        <f>L5</f>
        <v>SERVENTE</v>
      </c>
    </row>
    <row r="20" spans="2:13">
      <c r="B20" s="612" t="s">
        <v>162</v>
      </c>
      <c r="C20" s="613"/>
      <c r="D20" s="613"/>
      <c r="E20" s="613"/>
      <c r="F20" s="613"/>
      <c r="G20" s="613"/>
      <c r="H20" s="613"/>
      <c r="I20" s="613"/>
      <c r="J20" s="613"/>
      <c r="K20" s="92" t="s">
        <v>9</v>
      </c>
      <c r="L20" s="12" t="s">
        <v>166</v>
      </c>
    </row>
    <row r="21" spans="2:13">
      <c r="B21" s="90" t="s">
        <v>4</v>
      </c>
      <c r="C21" s="603" t="s">
        <v>163</v>
      </c>
      <c r="D21" s="604"/>
      <c r="E21" s="604"/>
      <c r="F21" s="604"/>
      <c r="G21" s="604"/>
      <c r="H21" s="604"/>
      <c r="I21" s="604"/>
      <c r="J21" s="605"/>
      <c r="K21" s="34">
        <v>8.3299999999999999E-2</v>
      </c>
      <c r="L21" s="12" t="e">
        <f>K21*L17</f>
        <v>#REF!</v>
      </c>
    </row>
    <row r="22" spans="2:13">
      <c r="B22" s="90" t="s">
        <v>6</v>
      </c>
      <c r="C22" s="603" t="s">
        <v>164</v>
      </c>
      <c r="D22" s="604"/>
      <c r="E22" s="604"/>
      <c r="F22" s="604"/>
      <c r="G22" s="604"/>
      <c r="H22" s="604"/>
      <c r="I22" s="604"/>
      <c r="J22" s="605"/>
      <c r="K22" s="34">
        <v>2.7799999999999998E-2</v>
      </c>
      <c r="L22" s="12" t="e">
        <f>K22*L17</f>
        <v>#REF!</v>
      </c>
    </row>
    <row r="23" spans="2:13">
      <c r="B23" s="614" t="s">
        <v>165</v>
      </c>
      <c r="C23" s="615"/>
      <c r="D23" s="615"/>
      <c r="E23" s="615"/>
      <c r="F23" s="615"/>
      <c r="G23" s="615"/>
      <c r="H23" s="615"/>
      <c r="I23" s="615"/>
      <c r="J23" s="616"/>
      <c r="K23" s="34">
        <f>SUM(K21:K22)</f>
        <v>0.1111</v>
      </c>
      <c r="L23" s="12" t="e">
        <f>SUM(L21:L22)</f>
        <v>#REF!</v>
      </c>
    </row>
    <row r="24" spans="2:13">
      <c r="B24" s="93"/>
      <c r="C24" s="94"/>
      <c r="D24" s="94"/>
      <c r="E24" s="94"/>
      <c r="F24" s="94"/>
      <c r="G24" s="94"/>
      <c r="H24" s="94"/>
      <c r="I24" s="94"/>
      <c r="J24" s="95"/>
      <c r="K24" s="34"/>
      <c r="L24" s="12"/>
    </row>
    <row r="25" spans="2:13">
      <c r="B25" s="612" t="s">
        <v>167</v>
      </c>
      <c r="C25" s="613"/>
      <c r="D25" s="613"/>
      <c r="E25" s="613"/>
      <c r="F25" s="613"/>
      <c r="G25" s="613"/>
      <c r="H25" s="613"/>
      <c r="I25" s="613"/>
      <c r="J25" s="613"/>
      <c r="K25" s="92" t="s">
        <v>9</v>
      </c>
      <c r="L25" s="12" t="s">
        <v>166</v>
      </c>
    </row>
    <row r="26" spans="2:13">
      <c r="B26" s="74" t="s">
        <v>4</v>
      </c>
      <c r="C26" s="617" t="s">
        <v>17</v>
      </c>
      <c r="D26" s="617"/>
      <c r="E26" s="617"/>
      <c r="F26" s="617"/>
      <c r="G26" s="617"/>
      <c r="H26" s="617"/>
      <c r="I26" s="617"/>
      <c r="J26" s="617"/>
      <c r="K26" s="27">
        <v>0.2</v>
      </c>
      <c r="L26" s="28" t="e">
        <f>ROUND($K$26*L17,2)</f>
        <v>#REF!</v>
      </c>
    </row>
    <row r="27" spans="2:13">
      <c r="B27" s="74" t="s">
        <v>6</v>
      </c>
      <c r="C27" s="617" t="s">
        <v>18</v>
      </c>
      <c r="D27" s="617"/>
      <c r="E27" s="617"/>
      <c r="F27" s="617"/>
      <c r="G27" s="617"/>
      <c r="H27" s="617"/>
      <c r="I27" s="617"/>
      <c r="J27" s="617"/>
      <c r="K27" s="27">
        <v>1.4999999999999999E-2</v>
      </c>
      <c r="L27" s="28" t="e">
        <f>ROUND($K$27*L17,2)</f>
        <v>#REF!</v>
      </c>
    </row>
    <row r="28" spans="2:13">
      <c r="B28" s="74" t="s">
        <v>10</v>
      </c>
      <c r="C28" s="617" t="s">
        <v>19</v>
      </c>
      <c r="D28" s="617"/>
      <c r="E28" s="617"/>
      <c r="F28" s="617"/>
      <c r="G28" s="617"/>
      <c r="H28" s="617"/>
      <c r="I28" s="617"/>
      <c r="J28" s="617"/>
      <c r="K28" s="27">
        <v>0.01</v>
      </c>
      <c r="L28" s="28" t="e">
        <f>ROUND(K28*$L$17,2)</f>
        <v>#REF!</v>
      </c>
    </row>
    <row r="29" spans="2:13">
      <c r="B29" s="74" t="s">
        <v>12</v>
      </c>
      <c r="C29" s="617" t="s">
        <v>20</v>
      </c>
      <c r="D29" s="617"/>
      <c r="E29" s="617"/>
      <c r="F29" s="617"/>
      <c r="G29" s="617"/>
      <c r="H29" s="617"/>
      <c r="I29" s="617"/>
      <c r="J29" s="617"/>
      <c r="K29" s="27">
        <v>2E-3</v>
      </c>
      <c r="L29" s="28" t="e">
        <f>ROUND(K29*$L$17,2)</f>
        <v>#REF!</v>
      </c>
    </row>
    <row r="30" spans="2:13">
      <c r="B30" s="74" t="s">
        <v>14</v>
      </c>
      <c r="C30" s="617" t="s">
        <v>21</v>
      </c>
      <c r="D30" s="617"/>
      <c r="E30" s="617"/>
      <c r="F30" s="617"/>
      <c r="G30" s="617"/>
      <c r="H30" s="617"/>
      <c r="I30" s="617"/>
      <c r="J30" s="617"/>
      <c r="K30" s="27">
        <v>2.5000000000000001E-2</v>
      </c>
      <c r="L30" s="28" t="e">
        <f>ROUND(K30*$L$17,2)</f>
        <v>#REF!</v>
      </c>
      <c r="M30" s="29"/>
    </row>
    <row r="31" spans="2:13">
      <c r="B31" s="74" t="s">
        <v>1</v>
      </c>
      <c r="C31" s="603" t="s">
        <v>153</v>
      </c>
      <c r="D31" s="605"/>
      <c r="E31" s="638">
        <v>0.08</v>
      </c>
      <c r="F31" s="639"/>
      <c r="G31" s="603" t="s">
        <v>152</v>
      </c>
      <c r="H31" s="604"/>
      <c r="I31" s="604"/>
      <c r="J31" s="605"/>
      <c r="K31" s="27">
        <f>E31*(1+(1/12)+(1/12/3))</f>
        <v>8.8888888888888878E-2</v>
      </c>
      <c r="L31" s="28" t="e">
        <f>ROUND(K31*($L$17+(1/3/12*L17)+(1/12*L17)),2)</f>
        <v>#REF!</v>
      </c>
      <c r="M31" s="1" t="s">
        <v>168</v>
      </c>
    </row>
    <row r="32" spans="2:13">
      <c r="B32" s="74" t="s">
        <v>15</v>
      </c>
      <c r="C32" s="617" t="s">
        <v>22</v>
      </c>
      <c r="D32" s="617"/>
      <c r="E32" s="617"/>
      <c r="F32" s="617"/>
      <c r="G32" s="73" t="s">
        <v>23</v>
      </c>
      <c r="H32" s="30">
        <v>0.03</v>
      </c>
      <c r="I32" s="73" t="s">
        <v>24</v>
      </c>
      <c r="J32" s="63">
        <v>1</v>
      </c>
      <c r="K32" s="31">
        <f>H32*J32</f>
        <v>0.03</v>
      </c>
      <c r="L32" s="28" t="e">
        <f>ROUND(K32*$L$17,2)</f>
        <v>#REF!</v>
      </c>
    </row>
    <row r="33" spans="2:20">
      <c r="B33" s="74" t="s">
        <v>16</v>
      </c>
      <c r="C33" s="617" t="s">
        <v>25</v>
      </c>
      <c r="D33" s="617"/>
      <c r="E33" s="617"/>
      <c r="F33" s="617"/>
      <c r="G33" s="617"/>
      <c r="H33" s="617"/>
      <c r="I33" s="617"/>
      <c r="J33" s="617"/>
      <c r="K33" s="27">
        <v>6.0000000000000001E-3</v>
      </c>
      <c r="L33" s="28" t="e">
        <f>ROUND(K33*$L$17,2)</f>
        <v>#REF!</v>
      </c>
      <c r="M33" s="2"/>
      <c r="N33" s="2"/>
      <c r="O33" s="2"/>
      <c r="P33" s="2"/>
      <c r="Q33" s="2"/>
      <c r="R33" s="2"/>
      <c r="S33" s="2"/>
      <c r="T33" s="2"/>
    </row>
    <row r="34" spans="2:20">
      <c r="B34" s="614" t="s">
        <v>169</v>
      </c>
      <c r="C34" s="615"/>
      <c r="D34" s="615"/>
      <c r="E34" s="615"/>
      <c r="F34" s="615"/>
      <c r="G34" s="615"/>
      <c r="H34" s="615"/>
      <c r="I34" s="615"/>
      <c r="J34" s="616"/>
      <c r="K34" s="34">
        <f>SUM(K26:K33)</f>
        <v>0.37688888888888894</v>
      </c>
      <c r="L34" s="12" t="e">
        <f>SUM(L26:L33)</f>
        <v>#REF!</v>
      </c>
      <c r="M34" s="2"/>
      <c r="N34" s="2"/>
      <c r="O34" s="2"/>
      <c r="P34" s="2"/>
      <c r="Q34" s="2"/>
      <c r="R34" s="2"/>
      <c r="S34" s="2"/>
      <c r="T34" s="2"/>
    </row>
    <row r="35" spans="2:20">
      <c r="B35" s="93"/>
      <c r="C35" s="94"/>
      <c r="D35" s="94"/>
      <c r="E35" s="94"/>
      <c r="F35" s="94"/>
      <c r="G35" s="94"/>
      <c r="H35" s="94"/>
      <c r="I35" s="94"/>
      <c r="J35" s="95"/>
      <c r="K35" s="34"/>
      <c r="L35" s="12"/>
      <c r="M35" s="2"/>
      <c r="N35" s="2"/>
      <c r="O35" s="2"/>
      <c r="P35" s="2"/>
      <c r="Q35" s="2"/>
      <c r="R35" s="2"/>
      <c r="S35" s="2"/>
      <c r="T35" s="2"/>
    </row>
    <row r="36" spans="2:20">
      <c r="B36" s="612" t="s">
        <v>170</v>
      </c>
      <c r="C36" s="613"/>
      <c r="D36" s="613"/>
      <c r="E36" s="613"/>
      <c r="F36" s="613"/>
      <c r="G36" s="613"/>
      <c r="H36" s="613"/>
      <c r="I36" s="613"/>
      <c r="J36" s="613"/>
      <c r="K36" s="92"/>
      <c r="L36" s="12" t="s">
        <v>166</v>
      </c>
    </row>
    <row r="37" spans="2:20">
      <c r="B37" s="59" t="s">
        <v>4</v>
      </c>
      <c r="C37" s="603" t="e">
        <f>#REF!</f>
        <v>#REF!</v>
      </c>
      <c r="D37" s="604"/>
      <c r="E37" s="604"/>
      <c r="F37" s="604"/>
      <c r="G37" s="604"/>
      <c r="H37" s="604"/>
      <c r="I37" s="604"/>
      <c r="J37" s="605"/>
      <c r="K37" s="80"/>
      <c r="L37" s="12" t="e">
        <f>#REF!</f>
        <v>#REF!</v>
      </c>
    </row>
    <row r="38" spans="2:20">
      <c r="B38" s="59" t="s">
        <v>6</v>
      </c>
      <c r="C38" s="603" t="e">
        <f>#REF!</f>
        <v>#REF!</v>
      </c>
      <c r="D38" s="604"/>
      <c r="E38" s="604"/>
      <c r="F38" s="604"/>
      <c r="G38" s="604"/>
      <c r="H38" s="604"/>
      <c r="I38" s="604"/>
      <c r="J38" s="605"/>
      <c r="K38" s="80"/>
      <c r="L38" s="12" t="e">
        <f>#REF!</f>
        <v>#REF!</v>
      </c>
    </row>
    <row r="39" spans="2:20">
      <c r="B39" s="59" t="s">
        <v>10</v>
      </c>
      <c r="C39" s="603" t="e">
        <f>#REF!</f>
        <v>#REF!</v>
      </c>
      <c r="D39" s="604"/>
      <c r="E39" s="604"/>
      <c r="F39" s="604"/>
      <c r="G39" s="604"/>
      <c r="H39" s="604"/>
      <c r="I39" s="604"/>
      <c r="J39" s="605"/>
      <c r="K39" s="80"/>
      <c r="L39" s="12" t="e">
        <f>#REF!</f>
        <v>#REF!</v>
      </c>
    </row>
    <row r="40" spans="2:20">
      <c r="B40" s="79" t="s">
        <v>12</v>
      </c>
      <c r="C40" s="603" t="e">
        <f>#REF!</f>
        <v>#REF!</v>
      </c>
      <c r="D40" s="604"/>
      <c r="E40" s="604"/>
      <c r="F40" s="604"/>
      <c r="G40" s="604"/>
      <c r="H40" s="604"/>
      <c r="I40" s="604"/>
      <c r="J40" s="605"/>
      <c r="K40" s="80"/>
      <c r="L40" s="12" t="e">
        <f>#REF!</f>
        <v>#REF!</v>
      </c>
    </row>
    <row r="41" spans="2:20">
      <c r="B41" s="79" t="s">
        <v>14</v>
      </c>
      <c r="C41" s="603" t="e">
        <f>#REF!</f>
        <v>#REF!</v>
      </c>
      <c r="D41" s="604"/>
      <c r="E41" s="604"/>
      <c r="F41" s="604"/>
      <c r="G41" s="604"/>
      <c r="H41" s="604"/>
      <c r="I41" s="604"/>
      <c r="J41" s="605"/>
      <c r="K41" s="81"/>
      <c r="L41" s="12" t="e">
        <f>#REF!</f>
        <v>#REF!</v>
      </c>
    </row>
    <row r="42" spans="2:20">
      <c r="B42" s="79" t="s">
        <v>1</v>
      </c>
      <c r="C42" s="603" t="e">
        <f>#REF!</f>
        <v>#REF!</v>
      </c>
      <c r="D42" s="604"/>
      <c r="E42" s="604"/>
      <c r="F42" s="604"/>
      <c r="G42" s="604"/>
      <c r="H42" s="604"/>
      <c r="I42" s="604"/>
      <c r="J42" s="605"/>
      <c r="K42" s="82"/>
      <c r="L42" s="12" t="e">
        <f>#REF!</f>
        <v>#REF!</v>
      </c>
    </row>
    <row r="43" spans="2:20">
      <c r="B43" s="79" t="s">
        <v>15</v>
      </c>
      <c r="C43" s="603" t="e">
        <f>#REF!</f>
        <v>#REF!</v>
      </c>
      <c r="D43" s="604"/>
      <c r="E43" s="604"/>
      <c r="F43" s="604"/>
      <c r="G43" s="604"/>
      <c r="H43" s="604"/>
      <c r="I43" s="604"/>
      <c r="J43" s="605"/>
      <c r="K43" s="82"/>
      <c r="L43" s="12" t="e">
        <f>#REF!</f>
        <v>#REF!</v>
      </c>
    </row>
    <row r="44" spans="2:20">
      <c r="B44" s="79" t="s">
        <v>16</v>
      </c>
      <c r="C44" s="620" t="s">
        <v>0</v>
      </c>
      <c r="D44" s="620"/>
      <c r="E44" s="620"/>
      <c r="F44" s="620"/>
      <c r="G44" s="620"/>
      <c r="H44" s="620"/>
      <c r="I44" s="620"/>
      <c r="J44" s="620"/>
      <c r="K44" s="620"/>
      <c r="L44" s="19">
        <v>0</v>
      </c>
    </row>
    <row r="45" spans="2:20">
      <c r="B45" s="614" t="s">
        <v>172</v>
      </c>
      <c r="C45" s="615"/>
      <c r="D45" s="615"/>
      <c r="E45" s="615"/>
      <c r="F45" s="615"/>
      <c r="G45" s="615"/>
      <c r="H45" s="615"/>
      <c r="I45" s="615"/>
      <c r="J45" s="616"/>
      <c r="K45" s="34"/>
      <c r="L45" s="12" t="e">
        <f>SUM(L37:L44)</f>
        <v>#REF!</v>
      </c>
    </row>
    <row r="46" spans="2:20">
      <c r="B46" s="93"/>
      <c r="C46" s="94"/>
      <c r="D46" s="94"/>
      <c r="E46" s="94"/>
      <c r="F46" s="94"/>
      <c r="G46" s="94"/>
      <c r="H46" s="94"/>
      <c r="I46" s="94"/>
      <c r="J46" s="95"/>
      <c r="K46" s="34"/>
      <c r="L46" s="12"/>
    </row>
    <row r="47" spans="2:20">
      <c r="B47" s="602" t="s">
        <v>173</v>
      </c>
      <c r="C47" s="602"/>
      <c r="D47" s="602"/>
      <c r="E47" s="602"/>
      <c r="F47" s="602"/>
      <c r="G47" s="602"/>
      <c r="H47" s="602"/>
      <c r="I47" s="602"/>
      <c r="J47" s="602"/>
      <c r="K47" s="602"/>
      <c r="L47" s="7" t="str">
        <f>L5</f>
        <v>SERVENTE</v>
      </c>
    </row>
    <row r="48" spans="2:20">
      <c r="B48" s="90" t="s">
        <v>174</v>
      </c>
      <c r="C48" s="603" t="s">
        <v>177</v>
      </c>
      <c r="D48" s="604"/>
      <c r="E48" s="604"/>
      <c r="F48" s="604"/>
      <c r="G48" s="604"/>
      <c r="H48" s="604"/>
      <c r="I48" s="604"/>
      <c r="J48" s="605"/>
      <c r="K48" s="80"/>
      <c r="L48" s="12" t="e">
        <f>L23</f>
        <v>#REF!</v>
      </c>
    </row>
    <row r="49" spans="2:12">
      <c r="B49" s="90" t="s">
        <v>175</v>
      </c>
      <c r="C49" s="603" t="s">
        <v>178</v>
      </c>
      <c r="D49" s="604"/>
      <c r="E49" s="604"/>
      <c r="F49" s="604"/>
      <c r="G49" s="604"/>
      <c r="H49" s="604"/>
      <c r="I49" s="604"/>
      <c r="J49" s="605"/>
      <c r="K49" s="80"/>
      <c r="L49" s="12" t="e">
        <f>L34</f>
        <v>#REF!</v>
      </c>
    </row>
    <row r="50" spans="2:12">
      <c r="B50" s="90" t="s">
        <v>176</v>
      </c>
      <c r="C50" s="603" t="s">
        <v>180</v>
      </c>
      <c r="D50" s="604"/>
      <c r="E50" s="604"/>
      <c r="F50" s="604"/>
      <c r="G50" s="604"/>
      <c r="H50" s="604"/>
      <c r="I50" s="604"/>
      <c r="J50" s="605"/>
      <c r="K50" s="80"/>
      <c r="L50" s="12" t="e">
        <f>L45</f>
        <v>#REF!</v>
      </c>
    </row>
    <row r="51" spans="2:12">
      <c r="B51" s="606" t="s">
        <v>179</v>
      </c>
      <c r="C51" s="607"/>
      <c r="D51" s="607"/>
      <c r="E51" s="607"/>
      <c r="F51" s="607"/>
      <c r="G51" s="607"/>
      <c r="H51" s="607"/>
      <c r="I51" s="607"/>
      <c r="J51" s="608"/>
      <c r="K51" s="101"/>
      <c r="L51" s="102" t="e">
        <f>SUM(L48:L50)</f>
        <v>#REF!</v>
      </c>
    </row>
    <row r="52" spans="2:12">
      <c r="B52" s="609"/>
      <c r="C52" s="610"/>
      <c r="D52" s="610"/>
      <c r="E52" s="610"/>
      <c r="F52" s="610"/>
      <c r="G52" s="610"/>
      <c r="H52" s="610"/>
      <c r="I52" s="610"/>
      <c r="J52" s="610"/>
      <c r="K52" s="610"/>
      <c r="L52" s="610"/>
    </row>
    <row r="53" spans="2:12">
      <c r="B53" s="611" t="s">
        <v>171</v>
      </c>
      <c r="C53" s="611"/>
      <c r="D53" s="611"/>
      <c r="E53" s="611"/>
      <c r="F53" s="611"/>
      <c r="G53" s="611"/>
      <c r="H53" s="611"/>
      <c r="I53" s="611"/>
      <c r="J53" s="611"/>
      <c r="K53" s="97" t="s">
        <v>9</v>
      </c>
      <c r="L53" s="98" t="s">
        <v>166</v>
      </c>
    </row>
    <row r="54" spans="2:12">
      <c r="B54" s="59" t="s">
        <v>4</v>
      </c>
      <c r="C54" s="617" t="s">
        <v>26</v>
      </c>
      <c r="D54" s="617"/>
      <c r="E54" s="617"/>
      <c r="F54" s="617"/>
      <c r="G54" s="617"/>
      <c r="H54" s="617"/>
      <c r="I54" s="38">
        <v>30</v>
      </c>
      <c r="J54" s="39">
        <v>0.05</v>
      </c>
      <c r="K54" s="34">
        <f>I54/30/12*J54</f>
        <v>4.1666666666666666E-3</v>
      </c>
      <c r="L54" s="12" t="e">
        <f t="shared" ref="L54:L59" si="0">ROUND(K54*$L$17,2)</f>
        <v>#REF!</v>
      </c>
    </row>
    <row r="55" spans="2:12">
      <c r="B55" s="59" t="s">
        <v>6</v>
      </c>
      <c r="C55" s="617" t="s">
        <v>27</v>
      </c>
      <c r="D55" s="617"/>
      <c r="E55" s="617"/>
      <c r="F55" s="617"/>
      <c r="G55" s="617"/>
      <c r="H55" s="617"/>
      <c r="I55" s="617"/>
      <c r="J55" s="617"/>
      <c r="K55" s="34">
        <f>K31*K54</f>
        <v>3.703703703703703E-4</v>
      </c>
      <c r="L55" s="12" t="e">
        <f t="shared" si="0"/>
        <v>#REF!</v>
      </c>
    </row>
    <row r="56" spans="2:12">
      <c r="B56" s="90" t="s">
        <v>10</v>
      </c>
      <c r="C56" s="617" t="s">
        <v>182</v>
      </c>
      <c r="D56" s="617"/>
      <c r="E56" s="617"/>
      <c r="F56" s="617"/>
      <c r="G56" s="617"/>
      <c r="H56" s="617"/>
      <c r="I56" s="617"/>
      <c r="J56" s="617"/>
      <c r="K56" s="34">
        <f>0.5*K55</f>
        <v>1.8518518518518515E-4</v>
      </c>
      <c r="L56" s="12" t="e">
        <f t="shared" si="0"/>
        <v>#REF!</v>
      </c>
    </row>
    <row r="57" spans="2:12">
      <c r="B57" s="90" t="s">
        <v>12</v>
      </c>
      <c r="C57" s="617" t="s">
        <v>184</v>
      </c>
      <c r="D57" s="617"/>
      <c r="E57" s="617"/>
      <c r="F57" s="617"/>
      <c r="G57" s="617"/>
      <c r="H57" s="617"/>
      <c r="I57" s="617"/>
      <c r="J57" s="617"/>
      <c r="K57" s="34">
        <v>4.0000000000000002E-4</v>
      </c>
      <c r="L57" s="12" t="e">
        <f t="shared" si="0"/>
        <v>#REF!</v>
      </c>
    </row>
    <row r="58" spans="2:12">
      <c r="B58" s="90" t="s">
        <v>14</v>
      </c>
      <c r="C58" s="617" t="s">
        <v>183</v>
      </c>
      <c r="D58" s="617"/>
      <c r="E58" s="617"/>
      <c r="F58" s="617"/>
      <c r="G58" s="617"/>
      <c r="H58" s="617"/>
      <c r="I58" s="617"/>
      <c r="J58" s="617"/>
      <c r="K58" s="34">
        <f>K34*K57</f>
        <v>1.5075555555555558E-4</v>
      </c>
      <c r="L58" s="12" t="e">
        <f t="shared" si="0"/>
        <v>#REF!</v>
      </c>
    </row>
    <row r="59" spans="2:12">
      <c r="B59" s="90" t="s">
        <v>1</v>
      </c>
      <c r="C59" s="617" t="s">
        <v>185</v>
      </c>
      <c r="D59" s="617"/>
      <c r="E59" s="617"/>
      <c r="F59" s="617"/>
      <c r="G59" s="617"/>
      <c r="H59" s="617"/>
      <c r="I59" s="617"/>
      <c r="J59" s="617"/>
      <c r="K59" s="96">
        <f>0.5*0.08*K57</f>
        <v>1.6000000000000003E-5</v>
      </c>
      <c r="L59" s="12" t="e">
        <f t="shared" si="0"/>
        <v>#REF!</v>
      </c>
    </row>
    <row r="60" spans="2:12" ht="15" customHeight="1">
      <c r="B60" s="606" t="s">
        <v>181</v>
      </c>
      <c r="C60" s="607"/>
      <c r="D60" s="607"/>
      <c r="E60" s="607"/>
      <c r="F60" s="607"/>
      <c r="G60" s="607"/>
      <c r="H60" s="607"/>
      <c r="I60" s="607"/>
      <c r="J60" s="608"/>
      <c r="K60" s="101"/>
      <c r="L60" s="102" t="e">
        <f>SUM(L54:L59)</f>
        <v>#REF!</v>
      </c>
    </row>
    <row r="61" spans="2:12">
      <c r="B61" s="20"/>
      <c r="C61" s="16"/>
      <c r="D61" s="16"/>
      <c r="E61" s="20"/>
      <c r="F61" s="20"/>
      <c r="G61" s="20"/>
      <c r="H61" s="20"/>
      <c r="I61" s="21"/>
      <c r="J61" s="22"/>
      <c r="K61" s="20"/>
    </row>
    <row r="62" spans="2:12">
      <c r="B62" s="611" t="s">
        <v>186</v>
      </c>
      <c r="C62" s="611"/>
      <c r="D62" s="611"/>
      <c r="E62" s="611"/>
      <c r="F62" s="611"/>
      <c r="G62" s="611"/>
      <c r="H62" s="611"/>
      <c r="I62" s="611"/>
      <c r="J62" s="611"/>
      <c r="K62" s="97"/>
      <c r="L62" s="98"/>
    </row>
    <row r="63" spans="2:12">
      <c r="B63" s="612" t="s">
        <v>191</v>
      </c>
      <c r="C63" s="613"/>
      <c r="D63" s="613"/>
      <c r="E63" s="613"/>
      <c r="F63" s="613"/>
      <c r="G63" s="613"/>
      <c r="H63" s="613"/>
      <c r="I63" s="613"/>
      <c r="J63" s="613"/>
      <c r="K63" s="92" t="s">
        <v>9</v>
      </c>
      <c r="L63" s="12" t="s">
        <v>166</v>
      </c>
    </row>
    <row r="64" spans="2:12">
      <c r="B64" s="59" t="s">
        <v>4</v>
      </c>
      <c r="C64" s="629" t="s">
        <v>187</v>
      </c>
      <c r="D64" s="629"/>
      <c r="E64" s="629"/>
      <c r="F64" s="629"/>
      <c r="G64" s="629"/>
      <c r="H64" s="629"/>
      <c r="I64" s="629"/>
      <c r="J64" s="629"/>
      <c r="K64" s="41">
        <f>1/12</f>
        <v>8.3333333333333329E-2</v>
      </c>
      <c r="L64" s="12" t="e">
        <f t="shared" ref="L64:L69" si="1">K64*$L$17</f>
        <v>#REF!</v>
      </c>
    </row>
    <row r="65" spans="2:13">
      <c r="B65" s="59" t="s">
        <v>6</v>
      </c>
      <c r="C65" s="617" t="s">
        <v>188</v>
      </c>
      <c r="D65" s="617"/>
      <c r="E65" s="617"/>
      <c r="F65" s="617"/>
      <c r="G65" s="640" t="s">
        <v>29</v>
      </c>
      <c r="H65" s="640"/>
      <c r="I65" s="640"/>
      <c r="J65" s="42">
        <v>3</v>
      </c>
      <c r="K65" s="41">
        <f>J65/30/12</f>
        <v>8.3333333333333332E-3</v>
      </c>
      <c r="L65" s="12" t="e">
        <f t="shared" si="1"/>
        <v>#REF!</v>
      </c>
      <c r="M65" s="1" t="s">
        <v>168</v>
      </c>
    </row>
    <row r="66" spans="2:13">
      <c r="B66" s="59" t="s">
        <v>10</v>
      </c>
      <c r="C66" s="617" t="s">
        <v>30</v>
      </c>
      <c r="D66" s="617"/>
      <c r="E66" s="617"/>
      <c r="F66" s="617"/>
      <c r="G66" s="640" t="s">
        <v>28</v>
      </c>
      <c r="H66" s="640"/>
      <c r="I66" s="36">
        <v>1.4999999999999999E-2</v>
      </c>
      <c r="J66" s="43">
        <v>5</v>
      </c>
      <c r="K66" s="41">
        <f>J66/30/12*I66</f>
        <v>2.0833333333333332E-4</v>
      </c>
      <c r="L66" s="12" t="e">
        <f t="shared" si="1"/>
        <v>#REF!</v>
      </c>
    </row>
    <row r="67" spans="2:13">
      <c r="B67" s="59" t="s">
        <v>12</v>
      </c>
      <c r="C67" s="640" t="s">
        <v>189</v>
      </c>
      <c r="D67" s="640"/>
      <c r="E67" s="640"/>
      <c r="F67" s="42"/>
      <c r="G67" s="640" t="s">
        <v>28</v>
      </c>
      <c r="H67" s="640"/>
      <c r="I67" s="36">
        <v>7.7999999999999996E-3</v>
      </c>
      <c r="J67" s="44">
        <v>15</v>
      </c>
      <c r="K67" s="41">
        <f>J67/30/12*I67</f>
        <v>3.2499999999999999E-4</v>
      </c>
      <c r="L67" s="12" t="e">
        <f t="shared" si="1"/>
        <v>#REF!</v>
      </c>
    </row>
    <row r="68" spans="2:13">
      <c r="B68" s="59" t="s">
        <v>14</v>
      </c>
      <c r="C68" s="640" t="s">
        <v>190</v>
      </c>
      <c r="D68" s="640"/>
      <c r="E68" s="640"/>
      <c r="F68" s="42"/>
      <c r="G68" s="641"/>
      <c r="H68" s="640"/>
      <c r="I68" s="36"/>
      <c r="J68" s="44"/>
      <c r="K68" s="41">
        <v>6.1000000000000004E-3</v>
      </c>
      <c r="L68" s="12" t="e">
        <f t="shared" si="1"/>
        <v>#REF!</v>
      </c>
      <c r="M68" s="64" t="s">
        <v>168</v>
      </c>
    </row>
    <row r="69" spans="2:13">
      <c r="B69" s="59" t="s">
        <v>1</v>
      </c>
      <c r="C69" s="620" t="s">
        <v>0</v>
      </c>
      <c r="D69" s="620"/>
      <c r="E69" s="620" t="s">
        <v>31</v>
      </c>
      <c r="F69" s="620"/>
      <c r="G69" s="620"/>
      <c r="H69" s="620"/>
      <c r="I69" s="620"/>
      <c r="J69" s="620"/>
      <c r="K69" s="45"/>
      <c r="L69" s="12" t="e">
        <f t="shared" si="1"/>
        <v>#REF!</v>
      </c>
      <c r="M69" s="64"/>
    </row>
    <row r="70" spans="2:13">
      <c r="B70" s="614" t="s">
        <v>192</v>
      </c>
      <c r="C70" s="615"/>
      <c r="D70" s="615"/>
      <c r="E70" s="615"/>
      <c r="F70" s="615"/>
      <c r="G70" s="615"/>
      <c r="H70" s="615"/>
      <c r="I70" s="615"/>
      <c r="J70" s="616"/>
      <c r="K70" s="46"/>
      <c r="L70" s="12" t="e">
        <f>SUM(L64:L69)</f>
        <v>#REF!</v>
      </c>
    </row>
    <row r="71" spans="2:13">
      <c r="B71" s="93"/>
      <c r="C71" s="94"/>
      <c r="D71" s="94"/>
      <c r="E71" s="94"/>
      <c r="F71" s="94"/>
      <c r="G71" s="94"/>
      <c r="H71" s="94"/>
      <c r="I71" s="94"/>
      <c r="J71" s="95"/>
      <c r="K71" s="34"/>
      <c r="L71" s="12"/>
    </row>
    <row r="72" spans="2:13">
      <c r="B72" s="612" t="s">
        <v>193</v>
      </c>
      <c r="C72" s="613"/>
      <c r="D72" s="613"/>
      <c r="E72" s="613"/>
      <c r="F72" s="613"/>
      <c r="G72" s="613"/>
      <c r="H72" s="613"/>
      <c r="I72" s="613"/>
      <c r="J72" s="613"/>
      <c r="K72" s="92" t="s">
        <v>9</v>
      </c>
      <c r="L72" s="12" t="s">
        <v>166</v>
      </c>
    </row>
    <row r="73" spans="2:13">
      <c r="B73" s="90" t="s">
        <v>4</v>
      </c>
      <c r="C73" s="629" t="s">
        <v>194</v>
      </c>
      <c r="D73" s="629"/>
      <c r="E73" s="629"/>
      <c r="F73" s="629"/>
      <c r="G73" s="629"/>
      <c r="H73" s="629"/>
      <c r="I73" s="629"/>
      <c r="J73" s="629"/>
      <c r="K73" s="41">
        <v>0</v>
      </c>
      <c r="L73" s="12" t="e">
        <f>K73*$L$17</f>
        <v>#REF!</v>
      </c>
    </row>
    <row r="74" spans="2:13">
      <c r="B74" s="614" t="s">
        <v>195</v>
      </c>
      <c r="C74" s="615"/>
      <c r="D74" s="615"/>
      <c r="E74" s="615"/>
      <c r="F74" s="615"/>
      <c r="G74" s="615"/>
      <c r="H74" s="615"/>
      <c r="I74" s="615"/>
      <c r="J74" s="616"/>
      <c r="K74" s="46"/>
      <c r="L74" s="12" t="e">
        <f>SUM(L73:L73)</f>
        <v>#REF!</v>
      </c>
    </row>
    <row r="75" spans="2:13">
      <c r="B75" s="93"/>
      <c r="C75" s="94"/>
      <c r="D75" s="94"/>
      <c r="E75" s="94"/>
      <c r="F75" s="94"/>
      <c r="G75" s="94"/>
      <c r="H75" s="94"/>
      <c r="I75" s="94"/>
      <c r="J75" s="94"/>
      <c r="K75" s="99"/>
      <c r="L75" s="12"/>
    </row>
    <row r="76" spans="2:13">
      <c r="B76" s="602" t="s">
        <v>196</v>
      </c>
      <c r="C76" s="602"/>
      <c r="D76" s="602"/>
      <c r="E76" s="602"/>
      <c r="F76" s="602"/>
      <c r="G76" s="602"/>
      <c r="H76" s="602"/>
      <c r="I76" s="602"/>
      <c r="J76" s="602"/>
      <c r="K76" s="602"/>
      <c r="L76" s="7" t="e">
        <f>L34</f>
        <v>#REF!</v>
      </c>
    </row>
    <row r="77" spans="2:13">
      <c r="B77" s="90" t="s">
        <v>197</v>
      </c>
      <c r="C77" s="603" t="s">
        <v>188</v>
      </c>
      <c r="D77" s="604"/>
      <c r="E77" s="604"/>
      <c r="F77" s="604"/>
      <c r="G77" s="604"/>
      <c r="H77" s="604"/>
      <c r="I77" s="604"/>
      <c r="J77" s="605"/>
      <c r="K77" s="80"/>
      <c r="L77" s="12" t="e">
        <f>L70</f>
        <v>#REF!</v>
      </c>
    </row>
    <row r="78" spans="2:13">
      <c r="B78" s="90" t="s">
        <v>198</v>
      </c>
      <c r="C78" s="603" t="s">
        <v>199</v>
      </c>
      <c r="D78" s="604"/>
      <c r="E78" s="604"/>
      <c r="F78" s="604"/>
      <c r="G78" s="604"/>
      <c r="H78" s="604"/>
      <c r="I78" s="604"/>
      <c r="J78" s="605"/>
      <c r="K78" s="80"/>
      <c r="L78" s="12" t="e">
        <f>L74</f>
        <v>#REF!</v>
      </c>
    </row>
    <row r="79" spans="2:13">
      <c r="B79" s="606" t="s">
        <v>200</v>
      </c>
      <c r="C79" s="607"/>
      <c r="D79" s="607"/>
      <c r="E79" s="607"/>
      <c r="F79" s="607"/>
      <c r="G79" s="607"/>
      <c r="H79" s="607"/>
      <c r="I79" s="607"/>
      <c r="J79" s="608"/>
      <c r="K79" s="101"/>
      <c r="L79" s="102" t="e">
        <f>SUM(L77:L78)</f>
        <v>#REF!</v>
      </c>
    </row>
    <row r="80" spans="2:13">
      <c r="B80" s="609"/>
      <c r="C80" s="610"/>
      <c r="D80" s="610"/>
      <c r="E80" s="610"/>
      <c r="F80" s="610"/>
      <c r="G80" s="610"/>
      <c r="H80" s="610"/>
      <c r="I80" s="610"/>
      <c r="J80" s="610"/>
      <c r="K80" s="610"/>
      <c r="L80" s="610"/>
    </row>
    <row r="81" spans="2:13">
      <c r="B81" s="611" t="s">
        <v>201</v>
      </c>
      <c r="C81" s="611"/>
      <c r="D81" s="611"/>
      <c r="E81" s="611"/>
      <c r="F81" s="611"/>
      <c r="G81" s="611"/>
      <c r="H81" s="611"/>
      <c r="I81" s="611"/>
      <c r="J81" s="611"/>
      <c r="K81" s="97"/>
      <c r="L81" s="98"/>
      <c r="M81" s="23"/>
    </row>
    <row r="82" spans="2:13">
      <c r="B82" s="59" t="s">
        <v>4</v>
      </c>
      <c r="C82" s="630" t="s">
        <v>54</v>
      </c>
      <c r="D82" s="630"/>
      <c r="E82" s="630"/>
      <c r="F82" s="630"/>
      <c r="G82" s="630"/>
      <c r="H82" s="630"/>
      <c r="I82" s="630"/>
      <c r="J82" s="630"/>
      <c r="K82" s="630"/>
      <c r="L82" s="12" t="e">
        <f>#REF!</f>
        <v>#REF!</v>
      </c>
    </row>
    <row r="83" spans="2:13">
      <c r="B83" s="59" t="s">
        <v>6</v>
      </c>
      <c r="C83" s="631" t="s">
        <v>203</v>
      </c>
      <c r="D83" s="632"/>
      <c r="E83" s="633" t="s">
        <v>55</v>
      </c>
      <c r="F83" s="634"/>
      <c r="G83" s="634"/>
      <c r="H83" s="634"/>
      <c r="I83" s="635"/>
      <c r="J83" s="636">
        <v>0.12</v>
      </c>
      <c r="K83" s="637"/>
      <c r="L83" s="19" t="e">
        <f>(L17+L51+L60+L79+L82)/(1-J83)*J83</f>
        <v>#REF!</v>
      </c>
      <c r="M83" s="24"/>
    </row>
    <row r="84" spans="2:13">
      <c r="B84" s="91" t="s">
        <v>210</v>
      </c>
      <c r="C84" s="631" t="s">
        <v>211</v>
      </c>
      <c r="D84" s="632"/>
      <c r="E84" s="633"/>
      <c r="F84" s="634"/>
      <c r="G84" s="634"/>
      <c r="H84" s="634"/>
      <c r="I84" s="635"/>
      <c r="J84" s="657">
        <f>H95+H96</f>
        <v>9.2499999999999999E-2</v>
      </c>
      <c r="K84" s="658"/>
      <c r="L84" s="19" t="e">
        <f>-J84*L83</f>
        <v>#REF!</v>
      </c>
      <c r="M84" s="24"/>
    </row>
    <row r="85" spans="2:13">
      <c r="B85" s="90" t="s">
        <v>10</v>
      </c>
      <c r="C85" s="83" t="s">
        <v>202</v>
      </c>
      <c r="D85" s="84"/>
      <c r="E85" s="85"/>
      <c r="F85" s="86"/>
      <c r="G85" s="86"/>
      <c r="H85" s="86"/>
      <c r="I85" s="87"/>
      <c r="J85" s="88"/>
      <c r="K85" s="89"/>
      <c r="L85" s="19"/>
      <c r="M85" s="24"/>
    </row>
    <row r="86" spans="2:13">
      <c r="B86" s="59" t="s">
        <v>204</v>
      </c>
      <c r="C86" s="620" t="s">
        <v>0</v>
      </c>
      <c r="D86" s="620"/>
      <c r="E86" s="620"/>
      <c r="F86" s="620"/>
      <c r="G86" s="620"/>
      <c r="H86" s="620"/>
      <c r="I86" s="620"/>
      <c r="J86" s="620"/>
      <c r="K86" s="620"/>
      <c r="L86" s="19">
        <v>0</v>
      </c>
    </row>
    <row r="87" spans="2:13">
      <c r="B87" s="606" t="s">
        <v>207</v>
      </c>
      <c r="C87" s="607"/>
      <c r="D87" s="607"/>
      <c r="E87" s="607"/>
      <c r="F87" s="607"/>
      <c r="G87" s="607"/>
      <c r="H87" s="607"/>
      <c r="I87" s="607"/>
      <c r="J87" s="608"/>
      <c r="K87" s="101"/>
      <c r="L87" s="102" t="e">
        <f>SUM(L82:L86)</f>
        <v>#REF!</v>
      </c>
    </row>
    <row r="88" spans="2:13">
      <c r="B88" s="25"/>
      <c r="C88" s="25"/>
      <c r="D88" s="25"/>
      <c r="E88" s="25"/>
      <c r="F88" s="25"/>
      <c r="G88" s="25"/>
      <c r="H88" s="25"/>
      <c r="I88" s="37"/>
      <c r="J88" s="25"/>
      <c r="K88" s="25"/>
    </row>
    <row r="89" spans="2:13">
      <c r="B89" s="16"/>
      <c r="C89" s="16"/>
      <c r="D89" s="16"/>
      <c r="E89" s="16"/>
      <c r="F89" s="16"/>
      <c r="G89" s="16"/>
      <c r="H89" s="48"/>
      <c r="I89" s="48"/>
      <c r="J89" s="48"/>
      <c r="K89" s="48"/>
      <c r="L89" s="49"/>
    </row>
    <row r="90" spans="2:13">
      <c r="B90" s="611" t="s">
        <v>205</v>
      </c>
      <c r="C90" s="611"/>
      <c r="D90" s="611"/>
      <c r="E90" s="611"/>
      <c r="F90" s="611"/>
      <c r="G90" s="611"/>
      <c r="H90" s="611"/>
      <c r="I90" s="611"/>
      <c r="J90" s="611"/>
      <c r="K90" s="97"/>
      <c r="L90" s="98" t="str">
        <f>L5</f>
        <v>SERVENTE</v>
      </c>
    </row>
    <row r="91" spans="2:13">
      <c r="B91" s="59" t="s">
        <v>4</v>
      </c>
      <c r="C91" s="629" t="s">
        <v>206</v>
      </c>
      <c r="D91" s="629"/>
      <c r="E91" s="629"/>
      <c r="F91" s="629"/>
      <c r="G91" s="629"/>
      <c r="H91" s="629"/>
      <c r="I91" s="629"/>
      <c r="J91" s="629"/>
      <c r="K91" s="65">
        <v>0.05</v>
      </c>
      <c r="L91" s="28" t="e">
        <f>K91*L110</f>
        <v>#REF!</v>
      </c>
      <c r="M91" s="50"/>
    </row>
    <row r="92" spans="2:13">
      <c r="B92" s="59" t="s">
        <v>6</v>
      </c>
      <c r="C92" s="629" t="s">
        <v>32</v>
      </c>
      <c r="D92" s="629"/>
      <c r="E92" s="629"/>
      <c r="F92" s="629"/>
      <c r="G92" s="629"/>
      <c r="H92" s="629"/>
      <c r="I92" s="629"/>
      <c r="J92" s="629"/>
      <c r="K92" s="65">
        <v>6.8099999999999994E-2</v>
      </c>
      <c r="L92" s="28" t="e">
        <f>K92*L110</f>
        <v>#REF!</v>
      </c>
      <c r="M92" s="50"/>
    </row>
    <row r="93" spans="2:13">
      <c r="B93" s="645" t="s">
        <v>10</v>
      </c>
      <c r="C93" s="646" t="s">
        <v>33</v>
      </c>
      <c r="D93" s="647"/>
      <c r="E93" s="647"/>
      <c r="F93" s="647"/>
      <c r="G93" s="647"/>
      <c r="H93" s="647"/>
      <c r="I93" s="648"/>
      <c r="J93" s="649" t="e">
        <f>L110+L91+L92</f>
        <v>#REF!</v>
      </c>
      <c r="K93" s="650"/>
      <c r="L93" s="47"/>
    </row>
    <row r="94" spans="2:13">
      <c r="B94" s="645"/>
      <c r="C94" s="651" t="s">
        <v>34</v>
      </c>
      <c r="D94" s="652"/>
      <c r="E94" s="652"/>
      <c r="F94" s="653"/>
      <c r="G94" s="40"/>
      <c r="H94" s="40" t="s">
        <v>35</v>
      </c>
      <c r="I94" s="40"/>
      <c r="J94" s="654"/>
      <c r="K94" s="655"/>
      <c r="L94" s="47"/>
    </row>
    <row r="95" spans="2:13">
      <c r="B95" s="645"/>
      <c r="C95" s="642" t="s">
        <v>36</v>
      </c>
      <c r="D95" s="642"/>
      <c r="E95" s="642"/>
      <c r="F95" s="642"/>
      <c r="G95" s="66" t="s">
        <v>37</v>
      </c>
      <c r="H95" s="35">
        <v>1.6500000000000001E-2</v>
      </c>
      <c r="I95" s="656">
        <f>SUM(H95:H100)</f>
        <v>0.13250000000000001</v>
      </c>
      <c r="J95" s="643" t="e">
        <f t="shared" ref="J95:J100" si="2">ROUND($L$112*H95,2)</f>
        <v>#REF!</v>
      </c>
      <c r="K95" s="644"/>
      <c r="L95" s="671" t="e">
        <f>SUM(J95:K100)</f>
        <v>#REF!</v>
      </c>
    </row>
    <row r="96" spans="2:13">
      <c r="B96" s="645"/>
      <c r="C96" s="642"/>
      <c r="D96" s="642"/>
      <c r="E96" s="642"/>
      <c r="F96" s="642"/>
      <c r="G96" s="66" t="s">
        <v>38</v>
      </c>
      <c r="H96" s="35">
        <v>7.5999999999999998E-2</v>
      </c>
      <c r="I96" s="656"/>
      <c r="J96" s="643" t="e">
        <f t="shared" si="2"/>
        <v>#REF!</v>
      </c>
      <c r="K96" s="644"/>
      <c r="L96" s="672"/>
    </row>
    <row r="97" spans="2:12">
      <c r="B97" s="645"/>
      <c r="C97" s="642"/>
      <c r="D97" s="642"/>
      <c r="E97" s="642"/>
      <c r="F97" s="642"/>
      <c r="G97" s="66" t="s">
        <v>39</v>
      </c>
      <c r="H97" s="35">
        <v>0</v>
      </c>
      <c r="I97" s="656"/>
      <c r="J97" s="643" t="e">
        <f t="shared" si="2"/>
        <v>#REF!</v>
      </c>
      <c r="K97" s="644"/>
      <c r="L97" s="672"/>
    </row>
    <row r="98" spans="2:12">
      <c r="B98" s="645"/>
      <c r="C98" s="642" t="s">
        <v>40</v>
      </c>
      <c r="D98" s="642"/>
      <c r="E98" s="642"/>
      <c r="F98" s="642"/>
      <c r="G98" s="67" t="s">
        <v>41</v>
      </c>
      <c r="H98" s="35">
        <v>0.04</v>
      </c>
      <c r="I98" s="656"/>
      <c r="J98" s="643" t="e">
        <f t="shared" si="2"/>
        <v>#REF!</v>
      </c>
      <c r="K98" s="644"/>
      <c r="L98" s="672"/>
    </row>
    <row r="99" spans="2:12">
      <c r="B99" s="645"/>
      <c r="C99" s="642"/>
      <c r="D99" s="642"/>
      <c r="E99" s="642"/>
      <c r="F99" s="642"/>
      <c r="G99" s="67" t="s">
        <v>39</v>
      </c>
      <c r="H99" s="35">
        <v>0</v>
      </c>
      <c r="I99" s="656"/>
      <c r="J99" s="643" t="e">
        <f t="shared" si="2"/>
        <v>#REF!</v>
      </c>
      <c r="K99" s="644"/>
      <c r="L99" s="672"/>
    </row>
    <row r="100" spans="2:12">
      <c r="B100" s="645"/>
      <c r="C100" s="642" t="s">
        <v>42</v>
      </c>
      <c r="D100" s="642"/>
      <c r="E100" s="642"/>
      <c r="F100" s="642"/>
      <c r="G100" s="67"/>
      <c r="H100" s="35">
        <v>0</v>
      </c>
      <c r="I100" s="656"/>
      <c r="J100" s="643" t="e">
        <f t="shared" si="2"/>
        <v>#REF!</v>
      </c>
      <c r="K100" s="644"/>
      <c r="L100" s="673"/>
    </row>
    <row r="101" spans="2:12">
      <c r="B101" s="645" t="s">
        <v>43</v>
      </c>
      <c r="C101" s="645"/>
      <c r="D101" s="645"/>
      <c r="E101" s="645"/>
      <c r="F101" s="645"/>
      <c r="G101" s="645"/>
      <c r="H101" s="645"/>
      <c r="I101" s="645"/>
      <c r="J101" s="645"/>
      <c r="K101" s="645"/>
      <c r="L101" s="60" t="e">
        <f>L95+L92+L91</f>
        <v>#REF!</v>
      </c>
    </row>
    <row r="102" spans="2:12">
      <c r="B102" s="51"/>
      <c r="C102" s="51"/>
      <c r="D102" s="51"/>
      <c r="E102" s="51"/>
      <c r="F102" s="51"/>
      <c r="G102" s="51"/>
      <c r="H102" s="51"/>
      <c r="I102" s="52"/>
      <c r="J102" s="53"/>
      <c r="K102" s="51"/>
    </row>
    <row r="103" spans="2:12">
      <c r="B103" s="670" t="s">
        <v>44</v>
      </c>
      <c r="C103" s="670"/>
      <c r="D103" s="670"/>
      <c r="E103" s="670"/>
      <c r="F103" s="670"/>
      <c r="G103" s="670"/>
      <c r="H103" s="670"/>
      <c r="I103" s="670"/>
      <c r="J103" s="670"/>
      <c r="K103" s="670"/>
      <c r="L103" s="670"/>
    </row>
    <row r="104" spans="2:12">
      <c r="B104" s="665" t="s">
        <v>45</v>
      </c>
      <c r="C104" s="665"/>
      <c r="D104" s="665"/>
      <c r="E104" s="665"/>
      <c r="F104" s="665"/>
      <c r="G104" s="665"/>
      <c r="H104" s="665"/>
      <c r="I104" s="665"/>
      <c r="J104" s="665"/>
      <c r="K104" s="665"/>
      <c r="L104" s="7" t="str">
        <f>L5</f>
        <v>SERVENTE</v>
      </c>
    </row>
    <row r="105" spans="2:12">
      <c r="B105" s="59" t="s">
        <v>4</v>
      </c>
      <c r="C105" s="629" t="str">
        <f>B6</f>
        <v xml:space="preserve">MÓDULO 01 – Composição da Remuneração </v>
      </c>
      <c r="D105" s="629"/>
      <c r="E105" s="629"/>
      <c r="F105" s="629"/>
      <c r="G105" s="629"/>
      <c r="H105" s="629"/>
      <c r="I105" s="629"/>
      <c r="J105" s="629"/>
      <c r="K105" s="629"/>
      <c r="L105" s="54" t="e">
        <f>L17</f>
        <v>#REF!</v>
      </c>
    </row>
    <row r="106" spans="2:12">
      <c r="B106" s="59" t="s">
        <v>6</v>
      </c>
      <c r="C106" s="629" t="str">
        <f>B19</f>
        <v>MÓDULO 2 – ENCARGOS E BENEFÍCIOS ANUAIS, MENSAIS E DIÁRIOS</v>
      </c>
      <c r="D106" s="629"/>
      <c r="E106" s="629"/>
      <c r="F106" s="629"/>
      <c r="G106" s="629"/>
      <c r="H106" s="629"/>
      <c r="I106" s="629"/>
      <c r="J106" s="629"/>
      <c r="K106" s="629"/>
      <c r="L106" s="54" t="e">
        <f>L51</f>
        <v>#REF!</v>
      </c>
    </row>
    <row r="107" spans="2:12">
      <c r="B107" s="59" t="s">
        <v>10</v>
      </c>
      <c r="C107" s="629" t="str">
        <f>B53</f>
        <v>MÓDULO 3 – PROVISÃO PARA RESCISÃO</v>
      </c>
      <c r="D107" s="629"/>
      <c r="E107" s="629"/>
      <c r="F107" s="629"/>
      <c r="G107" s="629"/>
      <c r="H107" s="629"/>
      <c r="I107" s="629"/>
      <c r="J107" s="629"/>
      <c r="K107" s="629"/>
      <c r="L107" s="54" t="e">
        <f>L60</f>
        <v>#REF!</v>
      </c>
    </row>
    <row r="108" spans="2:12">
      <c r="B108" s="59" t="s">
        <v>12</v>
      </c>
      <c r="C108" s="629" t="str">
        <f>B62</f>
        <v>MÓDULO 4 – CUSTO DE REPOSIÇÃO DO PROFISSIONAL AUSENTE</v>
      </c>
      <c r="D108" s="629"/>
      <c r="E108" s="629"/>
      <c r="F108" s="629"/>
      <c r="G108" s="629"/>
      <c r="H108" s="629"/>
      <c r="I108" s="629"/>
      <c r="J108" s="629"/>
      <c r="K108" s="629"/>
      <c r="L108" s="54" t="e">
        <f>L79</f>
        <v>#REF!</v>
      </c>
    </row>
    <row r="109" spans="2:12">
      <c r="B109" s="90" t="s">
        <v>14</v>
      </c>
      <c r="C109" s="629" t="str">
        <f>B81</f>
        <v>MÓDULO 5 – INSUMOS DIVERSOS</v>
      </c>
      <c r="D109" s="629"/>
      <c r="E109" s="629"/>
      <c r="F109" s="629"/>
      <c r="G109" s="629"/>
      <c r="H109" s="629"/>
      <c r="I109" s="629"/>
      <c r="J109" s="629"/>
      <c r="K109" s="629"/>
      <c r="L109" s="54" t="e">
        <f>L87</f>
        <v>#REF!</v>
      </c>
    </row>
    <row r="110" spans="2:12">
      <c r="B110" s="665" t="s">
        <v>209</v>
      </c>
      <c r="C110" s="665"/>
      <c r="D110" s="665"/>
      <c r="E110" s="665"/>
      <c r="F110" s="665"/>
      <c r="G110" s="665"/>
      <c r="H110" s="665"/>
      <c r="I110" s="665"/>
      <c r="J110" s="665"/>
      <c r="K110" s="665"/>
      <c r="L110" s="61" t="e">
        <f>SUM(L105:L109)</f>
        <v>#REF!</v>
      </c>
    </row>
    <row r="111" spans="2:12">
      <c r="B111" s="59" t="s">
        <v>14</v>
      </c>
      <c r="C111" s="629" t="s">
        <v>46</v>
      </c>
      <c r="D111" s="629"/>
      <c r="E111" s="629"/>
      <c r="F111" s="629"/>
      <c r="G111" s="629"/>
      <c r="H111" s="629"/>
      <c r="I111" s="629"/>
      <c r="J111" s="629"/>
      <c r="K111" s="629"/>
      <c r="L111" s="55" t="e">
        <f>L112-L110</f>
        <v>#REF!</v>
      </c>
    </row>
    <row r="112" spans="2:12">
      <c r="B112" s="666" t="s">
        <v>47</v>
      </c>
      <c r="C112" s="666"/>
      <c r="D112" s="666"/>
      <c r="E112" s="666"/>
      <c r="F112" s="666"/>
      <c r="G112" s="666"/>
      <c r="H112" s="666"/>
      <c r="I112" s="666"/>
      <c r="J112" s="666"/>
      <c r="K112" s="666"/>
      <c r="L112" s="62" t="e">
        <f>ROUND(J93/(1-$I$95),2)</f>
        <v>#REF!</v>
      </c>
    </row>
    <row r="113" spans="6:12">
      <c r="K113" s="50"/>
    </row>
    <row r="115" spans="6:12">
      <c r="F115" s="667" t="s">
        <v>48</v>
      </c>
      <c r="G115" s="668"/>
      <c r="H115" s="668"/>
      <c r="I115" s="669"/>
      <c r="J115" s="1"/>
      <c r="L115" s="1"/>
    </row>
    <row r="116" spans="6:12">
      <c r="F116" s="667" t="s">
        <v>49</v>
      </c>
      <c r="G116" s="668"/>
      <c r="H116" s="669"/>
      <c r="I116" s="56" t="s">
        <v>9</v>
      </c>
      <c r="J116" s="1"/>
      <c r="L116" s="1"/>
    </row>
    <row r="117" spans="6:12">
      <c r="F117" s="57" t="s">
        <v>50</v>
      </c>
      <c r="G117" s="57"/>
      <c r="H117" s="58"/>
      <c r="I117" s="58">
        <f>K91</f>
        <v>0.05</v>
      </c>
      <c r="J117" s="1"/>
      <c r="L117" s="1"/>
    </row>
    <row r="118" spans="6:12">
      <c r="F118" s="659" t="s">
        <v>32</v>
      </c>
      <c r="G118" s="660"/>
      <c r="H118" s="661"/>
      <c r="I118" s="58">
        <f>K92</f>
        <v>6.8099999999999994E-2</v>
      </c>
      <c r="J118" s="1"/>
      <c r="L118" s="1"/>
    </row>
    <row r="119" spans="6:12">
      <c r="F119" s="57" t="s">
        <v>51</v>
      </c>
      <c r="G119" s="57"/>
      <c r="H119" s="58"/>
      <c r="I119" s="58">
        <f>I95</f>
        <v>0.13250000000000001</v>
      </c>
      <c r="J119" s="1"/>
      <c r="L119" s="1"/>
    </row>
    <row r="120" spans="6:12">
      <c r="F120" s="662" t="s">
        <v>52</v>
      </c>
      <c r="G120" s="663"/>
      <c r="H120" s="664"/>
      <c r="I120" s="58">
        <f>(1+I117)*(1+I118)/(1-I119)-1</f>
        <v>0.29280115273775253</v>
      </c>
      <c r="J120" s="1"/>
      <c r="L120" s="1"/>
    </row>
  </sheetData>
  <mergeCells count="126">
    <mergeCell ref="C84:D84"/>
    <mergeCell ref="E84:I84"/>
    <mergeCell ref="J84:K84"/>
    <mergeCell ref="F118:H118"/>
    <mergeCell ref="F120:H120"/>
    <mergeCell ref="C108:K108"/>
    <mergeCell ref="B110:K110"/>
    <mergeCell ref="C111:K111"/>
    <mergeCell ref="B112:K112"/>
    <mergeCell ref="F115:I115"/>
    <mergeCell ref="F116:H116"/>
    <mergeCell ref="B101:K101"/>
    <mergeCell ref="B103:L103"/>
    <mergeCell ref="B104:K104"/>
    <mergeCell ref="C105:K105"/>
    <mergeCell ref="C106:K106"/>
    <mergeCell ref="C107:K107"/>
    <mergeCell ref="C109:K109"/>
    <mergeCell ref="L95:L100"/>
    <mergeCell ref="J96:K96"/>
    <mergeCell ref="J97:K97"/>
    <mergeCell ref="C98:F99"/>
    <mergeCell ref="J98:K98"/>
    <mergeCell ref="J99:K99"/>
    <mergeCell ref="C100:F100"/>
    <mergeCell ref="J100:K100"/>
    <mergeCell ref="B93:B100"/>
    <mergeCell ref="C93:I93"/>
    <mergeCell ref="J93:K93"/>
    <mergeCell ref="C94:F94"/>
    <mergeCell ref="J94:K94"/>
    <mergeCell ref="C95:F97"/>
    <mergeCell ref="I95:I100"/>
    <mergeCell ref="J95:K95"/>
    <mergeCell ref="C91:J91"/>
    <mergeCell ref="C92:J92"/>
    <mergeCell ref="B72:J72"/>
    <mergeCell ref="C73:J73"/>
    <mergeCell ref="C78:J78"/>
    <mergeCell ref="B74:J74"/>
    <mergeCell ref="B62:J62"/>
    <mergeCell ref="C64:J64"/>
    <mergeCell ref="B53:J53"/>
    <mergeCell ref="C54:H54"/>
    <mergeCell ref="C65:F65"/>
    <mergeCell ref="G65:I65"/>
    <mergeCell ref="C66:F66"/>
    <mergeCell ref="G66:H66"/>
    <mergeCell ref="G68:H68"/>
    <mergeCell ref="C69:J69"/>
    <mergeCell ref="C58:H58"/>
    <mergeCell ref="I58:J58"/>
    <mergeCell ref="C59:H59"/>
    <mergeCell ref="I59:J59"/>
    <mergeCell ref="G67:H67"/>
    <mergeCell ref="C67:E67"/>
    <mergeCell ref="C68:E68"/>
    <mergeCell ref="B70:J70"/>
    <mergeCell ref="B63:J63"/>
    <mergeCell ref="C29:J29"/>
    <mergeCell ref="C30:J30"/>
    <mergeCell ref="C32:F32"/>
    <mergeCell ref="C33:J33"/>
    <mergeCell ref="C31:D31"/>
    <mergeCell ref="E31:F31"/>
    <mergeCell ref="G31:J31"/>
    <mergeCell ref="C57:H57"/>
    <mergeCell ref="I57:J57"/>
    <mergeCell ref="B52:L52"/>
    <mergeCell ref="B2:L2"/>
    <mergeCell ref="B3:L4"/>
    <mergeCell ref="B6:L6"/>
    <mergeCell ref="C7:K7"/>
    <mergeCell ref="C9:E9"/>
    <mergeCell ref="F9:I9"/>
    <mergeCell ref="C8:K8"/>
    <mergeCell ref="C86:K86"/>
    <mergeCell ref="C26:J26"/>
    <mergeCell ref="C27:J27"/>
    <mergeCell ref="C44:K44"/>
    <mergeCell ref="C82:K82"/>
    <mergeCell ref="C83:D83"/>
    <mergeCell ref="E83:I83"/>
    <mergeCell ref="J83:K83"/>
    <mergeCell ref="B47:K47"/>
    <mergeCell ref="C48:J48"/>
    <mergeCell ref="C49:J49"/>
    <mergeCell ref="C50:J50"/>
    <mergeCell ref="B51:J51"/>
    <mergeCell ref="B60:J60"/>
    <mergeCell ref="C55:H55"/>
    <mergeCell ref="I55:J55"/>
    <mergeCell ref="C56:H56"/>
    <mergeCell ref="C10:I10"/>
    <mergeCell ref="C11:I11"/>
    <mergeCell ref="C12:I12"/>
    <mergeCell ref="C13:I13"/>
    <mergeCell ref="B19:K19"/>
    <mergeCell ref="C14:I14"/>
    <mergeCell ref="C15:K15"/>
    <mergeCell ref="C16:K16"/>
    <mergeCell ref="B17:K17"/>
    <mergeCell ref="B76:K76"/>
    <mergeCell ref="C77:J77"/>
    <mergeCell ref="B79:J79"/>
    <mergeCell ref="B80:L80"/>
    <mergeCell ref="B81:J81"/>
    <mergeCell ref="B90:J90"/>
    <mergeCell ref="B87:J87"/>
    <mergeCell ref="B20:J20"/>
    <mergeCell ref="B23:J23"/>
    <mergeCell ref="C21:J21"/>
    <mergeCell ref="C22:J22"/>
    <mergeCell ref="B25:J25"/>
    <mergeCell ref="B34:J34"/>
    <mergeCell ref="B36:J36"/>
    <mergeCell ref="C37:J37"/>
    <mergeCell ref="C38:J38"/>
    <mergeCell ref="C39:J39"/>
    <mergeCell ref="C40:J40"/>
    <mergeCell ref="C41:J41"/>
    <mergeCell ref="C42:J42"/>
    <mergeCell ref="C43:J43"/>
    <mergeCell ref="B45:J45"/>
    <mergeCell ref="I56:J56"/>
    <mergeCell ref="C28:J28"/>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T120"/>
  <sheetViews>
    <sheetView workbookViewId="0">
      <selection activeCell="G85" sqref="G85"/>
    </sheetView>
  </sheetViews>
  <sheetFormatPr defaultColWidth="11.85546875" defaultRowHeight="15"/>
  <cols>
    <col min="1" max="1" width="6.28515625" style="1" customWidth="1"/>
    <col min="2" max="2" width="4.5703125" style="1" customWidth="1"/>
    <col min="3" max="3" width="9" style="1" customWidth="1"/>
    <col min="4" max="4" width="25" style="1" customWidth="1"/>
    <col min="5" max="5" width="4.7109375" style="1" bestFit="1" customWidth="1"/>
    <col min="6" max="6" width="9" style="1" bestFit="1" customWidth="1"/>
    <col min="7" max="7" width="10.42578125" style="1" customWidth="1"/>
    <col min="8" max="8" width="10.7109375" style="1" customWidth="1"/>
    <col min="9" max="9" width="16.7109375" style="32" customWidth="1"/>
    <col min="10" max="10" width="9" style="33" bestFit="1" customWidth="1"/>
    <col min="11" max="11" width="9.140625" style="1" bestFit="1" customWidth="1"/>
    <col min="12" max="12" width="12.7109375" style="18" bestFit="1" customWidth="1"/>
    <col min="13" max="13" width="13.28515625" style="1" bestFit="1" customWidth="1"/>
    <col min="14" max="16384" width="11.85546875" style="1"/>
  </cols>
  <sheetData>
    <row r="2" spans="2:13">
      <c r="B2" s="622" t="s">
        <v>2</v>
      </c>
      <c r="C2" s="622"/>
      <c r="D2" s="622"/>
      <c r="E2" s="622"/>
      <c r="F2" s="622"/>
      <c r="G2" s="622"/>
      <c r="H2" s="622"/>
      <c r="I2" s="622"/>
      <c r="J2" s="622"/>
      <c r="K2" s="622"/>
      <c r="L2" s="622"/>
    </row>
    <row r="3" spans="2:13" s="2" customFormat="1">
      <c r="B3" s="623" t="e">
        <f>#REF!</f>
        <v>#REF!</v>
      </c>
      <c r="C3" s="624"/>
      <c r="D3" s="624"/>
      <c r="E3" s="624"/>
      <c r="F3" s="624"/>
      <c r="G3" s="624"/>
      <c r="H3" s="624"/>
      <c r="I3" s="624"/>
      <c r="J3" s="624"/>
      <c r="K3" s="624"/>
      <c r="L3" s="625"/>
    </row>
    <row r="4" spans="2:13" s="2" customFormat="1">
      <c r="B4" s="626"/>
      <c r="C4" s="627"/>
      <c r="D4" s="627"/>
      <c r="E4" s="627"/>
      <c r="F4" s="627"/>
      <c r="G4" s="627"/>
      <c r="H4" s="627"/>
      <c r="I4" s="627"/>
      <c r="J4" s="627"/>
      <c r="K4" s="627"/>
      <c r="L4" s="628"/>
    </row>
    <row r="5" spans="2:13">
      <c r="B5" s="3"/>
      <c r="C5" s="4"/>
      <c r="D5" s="4"/>
      <c r="E5" s="4"/>
      <c r="F5" s="4"/>
      <c r="G5" s="4"/>
      <c r="H5" s="4"/>
      <c r="I5" s="5"/>
      <c r="J5" s="4"/>
      <c r="K5" s="6"/>
      <c r="L5" s="7" t="s">
        <v>53</v>
      </c>
    </row>
    <row r="6" spans="2:13">
      <c r="B6" s="611" t="s">
        <v>3</v>
      </c>
      <c r="C6" s="611"/>
      <c r="D6" s="611"/>
      <c r="E6" s="611"/>
      <c r="F6" s="611"/>
      <c r="G6" s="611"/>
      <c r="H6" s="611"/>
      <c r="I6" s="611"/>
      <c r="J6" s="611"/>
      <c r="K6" s="611"/>
      <c r="L6" s="611"/>
    </row>
    <row r="7" spans="2:13">
      <c r="B7" s="69" t="s">
        <v>4</v>
      </c>
      <c r="C7" s="629" t="s">
        <v>5</v>
      </c>
      <c r="D7" s="629"/>
      <c r="E7" s="629"/>
      <c r="F7" s="629"/>
      <c r="G7" s="629"/>
      <c r="H7" s="629"/>
      <c r="I7" s="629"/>
      <c r="J7" s="629"/>
      <c r="K7" s="629"/>
      <c r="L7" s="9" t="e">
        <f>#REF!</f>
        <v>#REF!</v>
      </c>
    </row>
    <row r="8" spans="2:13">
      <c r="B8" s="79" t="s">
        <v>154</v>
      </c>
      <c r="C8" s="629" t="s">
        <v>155</v>
      </c>
      <c r="D8" s="629"/>
      <c r="E8" s="629"/>
      <c r="F8" s="629"/>
      <c r="G8" s="629"/>
      <c r="H8" s="629"/>
      <c r="I8" s="629"/>
      <c r="J8" s="629"/>
      <c r="K8" s="629"/>
      <c r="L8" s="9"/>
    </row>
    <row r="9" spans="2:13">
      <c r="B9" s="69" t="s">
        <v>6</v>
      </c>
      <c r="C9" s="629" t="s">
        <v>7</v>
      </c>
      <c r="D9" s="629"/>
      <c r="E9" s="629"/>
      <c r="F9" s="617" t="s">
        <v>8</v>
      </c>
      <c r="G9" s="617"/>
      <c r="H9" s="617"/>
      <c r="I9" s="617"/>
      <c r="J9" s="10" t="s">
        <v>9</v>
      </c>
      <c r="K9" s="11">
        <v>0</v>
      </c>
      <c r="L9" s="12">
        <v>0</v>
      </c>
      <c r="M9" s="13"/>
    </row>
    <row r="10" spans="2:13">
      <c r="B10" s="90" t="s">
        <v>10</v>
      </c>
      <c r="C10" s="603" t="s">
        <v>160</v>
      </c>
      <c r="D10" s="604"/>
      <c r="E10" s="604"/>
      <c r="F10" s="604"/>
      <c r="G10" s="604"/>
      <c r="H10" s="604"/>
      <c r="I10" s="605"/>
      <c r="J10" s="10" t="s">
        <v>9</v>
      </c>
      <c r="K10" s="11">
        <v>0</v>
      </c>
      <c r="L10" s="12">
        <v>0</v>
      </c>
      <c r="M10" s="13"/>
    </row>
    <row r="11" spans="2:13">
      <c r="B11" s="90" t="s">
        <v>12</v>
      </c>
      <c r="C11" s="603" t="s">
        <v>157</v>
      </c>
      <c r="D11" s="604"/>
      <c r="E11" s="604"/>
      <c r="F11" s="604"/>
      <c r="G11" s="604"/>
      <c r="H11" s="604"/>
      <c r="I11" s="605"/>
      <c r="J11" s="10" t="s">
        <v>9</v>
      </c>
      <c r="K11" s="11">
        <v>0</v>
      </c>
      <c r="L11" s="12">
        <v>0</v>
      </c>
      <c r="M11" s="13"/>
    </row>
    <row r="12" spans="2:13">
      <c r="B12" s="90" t="s">
        <v>14</v>
      </c>
      <c r="C12" s="603" t="s">
        <v>158</v>
      </c>
      <c r="D12" s="604"/>
      <c r="E12" s="604"/>
      <c r="F12" s="604"/>
      <c r="G12" s="604"/>
      <c r="H12" s="604"/>
      <c r="I12" s="605"/>
      <c r="J12" s="10" t="s">
        <v>9</v>
      </c>
      <c r="K12" s="11">
        <v>0</v>
      </c>
      <c r="L12" s="12">
        <v>0</v>
      </c>
      <c r="M12" s="13"/>
    </row>
    <row r="13" spans="2:13">
      <c r="B13" s="90" t="s">
        <v>1</v>
      </c>
      <c r="C13" s="603" t="s">
        <v>159</v>
      </c>
      <c r="D13" s="604"/>
      <c r="E13" s="604"/>
      <c r="F13" s="604"/>
      <c r="G13" s="604"/>
      <c r="H13" s="604"/>
      <c r="I13" s="605"/>
      <c r="J13" s="10" t="s">
        <v>9</v>
      </c>
      <c r="K13" s="11">
        <v>0</v>
      </c>
      <c r="L13" s="12">
        <v>0</v>
      </c>
      <c r="M13" s="13"/>
    </row>
    <row r="14" spans="2:13">
      <c r="B14" s="90" t="s">
        <v>15</v>
      </c>
      <c r="C14" s="618" t="s">
        <v>11</v>
      </c>
      <c r="D14" s="618"/>
      <c r="E14" s="618"/>
      <c r="F14" s="618"/>
      <c r="G14" s="618"/>
      <c r="H14" s="618"/>
      <c r="I14" s="618"/>
      <c r="J14" s="10" t="s">
        <v>9</v>
      </c>
      <c r="K14" s="14">
        <v>0</v>
      </c>
      <c r="L14" s="12">
        <v>0</v>
      </c>
      <c r="M14" s="13"/>
    </row>
    <row r="15" spans="2:13">
      <c r="B15" s="90" t="s">
        <v>16</v>
      </c>
      <c r="C15" s="619" t="s">
        <v>13</v>
      </c>
      <c r="D15" s="619"/>
      <c r="E15" s="619"/>
      <c r="F15" s="619"/>
      <c r="G15" s="619"/>
      <c r="H15" s="619"/>
      <c r="I15" s="619"/>
      <c r="J15" s="619"/>
      <c r="K15" s="619"/>
      <c r="L15" s="12">
        <v>0</v>
      </c>
      <c r="M15" s="13"/>
    </row>
    <row r="16" spans="2:13">
      <c r="B16" s="90" t="s">
        <v>156</v>
      </c>
      <c r="C16" s="620" t="s">
        <v>0</v>
      </c>
      <c r="D16" s="620"/>
      <c r="E16" s="620"/>
      <c r="F16" s="620"/>
      <c r="G16" s="620"/>
      <c r="H16" s="620"/>
      <c r="I16" s="620"/>
      <c r="J16" s="620"/>
      <c r="K16" s="620"/>
      <c r="L16" s="12"/>
      <c r="M16" s="13"/>
    </row>
    <row r="17" spans="2:13">
      <c r="B17" s="621" t="s">
        <v>208</v>
      </c>
      <c r="C17" s="621"/>
      <c r="D17" s="621"/>
      <c r="E17" s="621"/>
      <c r="F17" s="621"/>
      <c r="G17" s="621"/>
      <c r="H17" s="621"/>
      <c r="I17" s="621"/>
      <c r="J17" s="621"/>
      <c r="K17" s="621"/>
      <c r="L17" s="100" t="e">
        <f>SUM(L7:L16)</f>
        <v>#REF!</v>
      </c>
      <c r="M17" s="15"/>
    </row>
    <row r="18" spans="2:13">
      <c r="B18" s="16"/>
      <c r="C18" s="16"/>
      <c r="D18" s="16"/>
      <c r="E18" s="16"/>
      <c r="F18" s="16"/>
      <c r="G18" s="16"/>
      <c r="H18" s="16"/>
      <c r="I18" s="17"/>
      <c r="J18" s="16"/>
      <c r="K18" s="16"/>
    </row>
    <row r="19" spans="2:13">
      <c r="B19" s="611" t="s">
        <v>161</v>
      </c>
      <c r="C19" s="611"/>
      <c r="D19" s="611"/>
      <c r="E19" s="611"/>
      <c r="F19" s="611"/>
      <c r="G19" s="611"/>
      <c r="H19" s="611"/>
      <c r="I19" s="611"/>
      <c r="J19" s="611"/>
      <c r="K19" s="611"/>
      <c r="L19" s="7" t="str">
        <f>L5</f>
        <v>SERVENTE</v>
      </c>
    </row>
    <row r="20" spans="2:13">
      <c r="B20" s="612" t="s">
        <v>162</v>
      </c>
      <c r="C20" s="613"/>
      <c r="D20" s="613"/>
      <c r="E20" s="613"/>
      <c r="F20" s="613"/>
      <c r="G20" s="613"/>
      <c r="H20" s="613"/>
      <c r="I20" s="613"/>
      <c r="J20" s="613"/>
      <c r="K20" s="92" t="s">
        <v>9</v>
      </c>
      <c r="L20" s="12" t="s">
        <v>166</v>
      </c>
    </row>
    <row r="21" spans="2:13">
      <c r="B21" s="90" t="s">
        <v>4</v>
      </c>
      <c r="C21" s="603" t="s">
        <v>163</v>
      </c>
      <c r="D21" s="604"/>
      <c r="E21" s="604"/>
      <c r="F21" s="604"/>
      <c r="G21" s="604"/>
      <c r="H21" s="604"/>
      <c r="I21" s="604"/>
      <c r="J21" s="605"/>
      <c r="K21" s="34">
        <v>8.3299999999999999E-2</v>
      </c>
      <c r="L21" s="12" t="e">
        <f>K21*L17</f>
        <v>#REF!</v>
      </c>
    </row>
    <row r="22" spans="2:13">
      <c r="B22" s="90" t="s">
        <v>6</v>
      </c>
      <c r="C22" s="603" t="s">
        <v>164</v>
      </c>
      <c r="D22" s="604"/>
      <c r="E22" s="604"/>
      <c r="F22" s="604"/>
      <c r="G22" s="604"/>
      <c r="H22" s="604"/>
      <c r="I22" s="604"/>
      <c r="J22" s="605"/>
      <c r="K22" s="34">
        <v>2.7799999999999998E-2</v>
      </c>
      <c r="L22" s="12" t="e">
        <f>K22*L17</f>
        <v>#REF!</v>
      </c>
    </row>
    <row r="23" spans="2:13">
      <c r="B23" s="614" t="s">
        <v>165</v>
      </c>
      <c r="C23" s="615"/>
      <c r="D23" s="615"/>
      <c r="E23" s="615"/>
      <c r="F23" s="615"/>
      <c r="G23" s="615"/>
      <c r="H23" s="615"/>
      <c r="I23" s="615"/>
      <c r="J23" s="616"/>
      <c r="K23" s="34">
        <f>SUM(K21:K22)</f>
        <v>0.1111</v>
      </c>
      <c r="L23" s="12" t="e">
        <f>SUM(L21:L22)</f>
        <v>#REF!</v>
      </c>
    </row>
    <row r="24" spans="2:13">
      <c r="B24" s="93"/>
      <c r="C24" s="94"/>
      <c r="D24" s="94"/>
      <c r="E24" s="94"/>
      <c r="F24" s="94"/>
      <c r="G24" s="94"/>
      <c r="H24" s="94"/>
      <c r="I24" s="94"/>
      <c r="J24" s="95"/>
      <c r="K24" s="34"/>
      <c r="L24" s="12"/>
    </row>
    <row r="25" spans="2:13">
      <c r="B25" s="612" t="s">
        <v>167</v>
      </c>
      <c r="C25" s="613"/>
      <c r="D25" s="613"/>
      <c r="E25" s="613"/>
      <c r="F25" s="613"/>
      <c r="G25" s="613"/>
      <c r="H25" s="613"/>
      <c r="I25" s="613"/>
      <c r="J25" s="613"/>
      <c r="K25" s="92" t="s">
        <v>9</v>
      </c>
      <c r="L25" s="12" t="s">
        <v>166</v>
      </c>
    </row>
    <row r="26" spans="2:13">
      <c r="B26" s="74" t="s">
        <v>4</v>
      </c>
      <c r="C26" s="617" t="s">
        <v>17</v>
      </c>
      <c r="D26" s="617"/>
      <c r="E26" s="617"/>
      <c r="F26" s="617"/>
      <c r="G26" s="617"/>
      <c r="H26" s="617"/>
      <c r="I26" s="617"/>
      <c r="J26" s="617"/>
      <c r="K26" s="27">
        <v>0.2</v>
      </c>
      <c r="L26" s="28" t="e">
        <f>ROUND($K$26*L17,2)</f>
        <v>#REF!</v>
      </c>
    </row>
    <row r="27" spans="2:13">
      <c r="B27" s="74" t="s">
        <v>6</v>
      </c>
      <c r="C27" s="617" t="s">
        <v>18</v>
      </c>
      <c r="D27" s="617"/>
      <c r="E27" s="617"/>
      <c r="F27" s="617"/>
      <c r="G27" s="617"/>
      <c r="H27" s="617"/>
      <c r="I27" s="617"/>
      <c r="J27" s="617"/>
      <c r="K27" s="27">
        <v>1.4999999999999999E-2</v>
      </c>
      <c r="L27" s="28" t="e">
        <f>ROUND($K$27*L17,2)</f>
        <v>#REF!</v>
      </c>
    </row>
    <row r="28" spans="2:13">
      <c r="B28" s="74" t="s">
        <v>10</v>
      </c>
      <c r="C28" s="617" t="s">
        <v>19</v>
      </c>
      <c r="D28" s="617"/>
      <c r="E28" s="617"/>
      <c r="F28" s="617"/>
      <c r="G28" s="617"/>
      <c r="H28" s="617"/>
      <c r="I28" s="617"/>
      <c r="J28" s="617"/>
      <c r="K28" s="27">
        <v>0.01</v>
      </c>
      <c r="L28" s="28" t="e">
        <f>ROUND(K28*$L$17,2)</f>
        <v>#REF!</v>
      </c>
    </row>
    <row r="29" spans="2:13">
      <c r="B29" s="74" t="s">
        <v>12</v>
      </c>
      <c r="C29" s="617" t="s">
        <v>20</v>
      </c>
      <c r="D29" s="617"/>
      <c r="E29" s="617"/>
      <c r="F29" s="617"/>
      <c r="G29" s="617"/>
      <c r="H29" s="617"/>
      <c r="I29" s="617"/>
      <c r="J29" s="617"/>
      <c r="K29" s="27">
        <v>2E-3</v>
      </c>
      <c r="L29" s="28" t="e">
        <f>ROUND(K29*$L$17,2)</f>
        <v>#REF!</v>
      </c>
    </row>
    <row r="30" spans="2:13">
      <c r="B30" s="74" t="s">
        <v>14</v>
      </c>
      <c r="C30" s="617" t="s">
        <v>21</v>
      </c>
      <c r="D30" s="617"/>
      <c r="E30" s="617"/>
      <c r="F30" s="617"/>
      <c r="G30" s="617"/>
      <c r="H30" s="617"/>
      <c r="I30" s="617"/>
      <c r="J30" s="617"/>
      <c r="K30" s="27">
        <v>2.5000000000000001E-2</v>
      </c>
      <c r="L30" s="28" t="e">
        <f>ROUND(K30*$L$17,2)</f>
        <v>#REF!</v>
      </c>
      <c r="M30" s="29"/>
    </row>
    <row r="31" spans="2:13">
      <c r="B31" s="74" t="s">
        <v>1</v>
      </c>
      <c r="C31" s="603" t="s">
        <v>153</v>
      </c>
      <c r="D31" s="605"/>
      <c r="E31" s="638">
        <v>0.08</v>
      </c>
      <c r="F31" s="639"/>
      <c r="G31" s="603" t="s">
        <v>152</v>
      </c>
      <c r="H31" s="604"/>
      <c r="I31" s="604"/>
      <c r="J31" s="605"/>
      <c r="K31" s="27">
        <f>E31*(1+(1/12)+(1/12/3))</f>
        <v>8.8888888888888878E-2</v>
      </c>
      <c r="L31" s="28" t="e">
        <f>ROUND(K31*($L$17+(1/3/12*L17)+(1/12*L17)),2)</f>
        <v>#REF!</v>
      </c>
      <c r="M31" s="1" t="s">
        <v>168</v>
      </c>
    </row>
    <row r="32" spans="2:13">
      <c r="B32" s="74" t="s">
        <v>15</v>
      </c>
      <c r="C32" s="617" t="s">
        <v>22</v>
      </c>
      <c r="D32" s="617"/>
      <c r="E32" s="617"/>
      <c r="F32" s="617"/>
      <c r="G32" s="73" t="s">
        <v>23</v>
      </c>
      <c r="H32" s="30">
        <v>0.03</v>
      </c>
      <c r="I32" s="73" t="s">
        <v>24</v>
      </c>
      <c r="J32" s="63">
        <v>1</v>
      </c>
      <c r="K32" s="31">
        <f>H32*J32</f>
        <v>0.03</v>
      </c>
      <c r="L32" s="28" t="e">
        <f>ROUND(K32*$L$17,2)</f>
        <v>#REF!</v>
      </c>
    </row>
    <row r="33" spans="2:20">
      <c r="B33" s="74" t="s">
        <v>16</v>
      </c>
      <c r="C33" s="617" t="s">
        <v>25</v>
      </c>
      <c r="D33" s="617"/>
      <c r="E33" s="617"/>
      <c r="F33" s="617"/>
      <c r="G33" s="617"/>
      <c r="H33" s="617"/>
      <c r="I33" s="617"/>
      <c r="J33" s="617"/>
      <c r="K33" s="27">
        <v>6.0000000000000001E-3</v>
      </c>
      <c r="L33" s="28" t="e">
        <f>ROUND(K33*$L$17,2)</f>
        <v>#REF!</v>
      </c>
      <c r="M33" s="2"/>
      <c r="N33" s="2"/>
      <c r="O33" s="2"/>
      <c r="P33" s="2"/>
      <c r="Q33" s="2"/>
      <c r="R33" s="2"/>
      <c r="S33" s="2"/>
      <c r="T33" s="2"/>
    </row>
    <row r="34" spans="2:20">
      <c r="B34" s="614" t="s">
        <v>169</v>
      </c>
      <c r="C34" s="615"/>
      <c r="D34" s="615"/>
      <c r="E34" s="615"/>
      <c r="F34" s="615"/>
      <c r="G34" s="615"/>
      <c r="H34" s="615"/>
      <c r="I34" s="615"/>
      <c r="J34" s="616"/>
      <c r="K34" s="34">
        <f>SUM(K26:K33)</f>
        <v>0.37688888888888894</v>
      </c>
      <c r="L34" s="12" t="e">
        <f>SUM(L26:L33)</f>
        <v>#REF!</v>
      </c>
      <c r="M34" s="2"/>
      <c r="N34" s="2"/>
      <c r="O34" s="2"/>
      <c r="P34" s="2"/>
      <c r="Q34" s="2"/>
      <c r="R34" s="2"/>
      <c r="S34" s="2"/>
      <c r="T34" s="2"/>
    </row>
    <row r="35" spans="2:20">
      <c r="B35" s="93"/>
      <c r="C35" s="94"/>
      <c r="D35" s="94"/>
      <c r="E35" s="94"/>
      <c r="F35" s="94"/>
      <c r="G35" s="94"/>
      <c r="H35" s="94"/>
      <c r="I35" s="94"/>
      <c r="J35" s="95"/>
      <c r="K35" s="34"/>
      <c r="L35" s="12"/>
      <c r="M35" s="2"/>
      <c r="N35" s="2"/>
      <c r="O35" s="2"/>
      <c r="P35" s="2"/>
      <c r="Q35" s="2"/>
      <c r="R35" s="2"/>
      <c r="S35" s="2"/>
      <c r="T35" s="2"/>
    </row>
    <row r="36" spans="2:20">
      <c r="B36" s="612" t="s">
        <v>170</v>
      </c>
      <c r="C36" s="613"/>
      <c r="D36" s="613"/>
      <c r="E36" s="613"/>
      <c r="F36" s="613"/>
      <c r="G36" s="613"/>
      <c r="H36" s="613"/>
      <c r="I36" s="613"/>
      <c r="J36" s="613"/>
      <c r="K36" s="92"/>
      <c r="L36" s="12" t="s">
        <v>166</v>
      </c>
    </row>
    <row r="37" spans="2:20">
      <c r="B37" s="69" t="s">
        <v>4</v>
      </c>
      <c r="C37" s="603" t="e">
        <f>#REF!</f>
        <v>#REF!</v>
      </c>
      <c r="D37" s="604"/>
      <c r="E37" s="604"/>
      <c r="F37" s="604"/>
      <c r="G37" s="604"/>
      <c r="H37" s="604"/>
      <c r="I37" s="604"/>
      <c r="J37" s="605"/>
      <c r="K37" s="80"/>
      <c r="L37" s="12" t="e">
        <f>#REF!</f>
        <v>#REF!</v>
      </c>
    </row>
    <row r="38" spans="2:20">
      <c r="B38" s="69" t="s">
        <v>6</v>
      </c>
      <c r="C38" s="603" t="e">
        <f>#REF!</f>
        <v>#REF!</v>
      </c>
      <c r="D38" s="604"/>
      <c r="E38" s="604"/>
      <c r="F38" s="604"/>
      <c r="G38" s="604"/>
      <c r="H38" s="604"/>
      <c r="I38" s="604"/>
      <c r="J38" s="605"/>
      <c r="K38" s="80"/>
      <c r="L38" s="12" t="e">
        <f>#REF!</f>
        <v>#REF!</v>
      </c>
    </row>
    <row r="39" spans="2:20">
      <c r="B39" s="69" t="s">
        <v>10</v>
      </c>
      <c r="C39" s="603" t="e">
        <f>#REF!</f>
        <v>#REF!</v>
      </c>
      <c r="D39" s="604"/>
      <c r="E39" s="604"/>
      <c r="F39" s="604"/>
      <c r="G39" s="604"/>
      <c r="H39" s="604"/>
      <c r="I39" s="604"/>
      <c r="J39" s="605"/>
      <c r="K39" s="80"/>
      <c r="L39" s="12" t="e">
        <f>#REF!</f>
        <v>#REF!</v>
      </c>
    </row>
    <row r="40" spans="2:20">
      <c r="B40" s="79" t="s">
        <v>12</v>
      </c>
      <c r="C40" s="603" t="e">
        <f>#REF!</f>
        <v>#REF!</v>
      </c>
      <c r="D40" s="604"/>
      <c r="E40" s="604"/>
      <c r="F40" s="604"/>
      <c r="G40" s="604"/>
      <c r="H40" s="604"/>
      <c r="I40" s="604"/>
      <c r="J40" s="605"/>
      <c r="K40" s="80"/>
      <c r="L40" s="12" t="e">
        <f>#REF!</f>
        <v>#REF!</v>
      </c>
    </row>
    <row r="41" spans="2:20">
      <c r="B41" s="79" t="s">
        <v>14</v>
      </c>
      <c r="C41" s="603" t="e">
        <f>#REF!</f>
        <v>#REF!</v>
      </c>
      <c r="D41" s="604"/>
      <c r="E41" s="604"/>
      <c r="F41" s="604"/>
      <c r="G41" s="604"/>
      <c r="H41" s="604"/>
      <c r="I41" s="604"/>
      <c r="J41" s="605"/>
      <c r="K41" s="81"/>
      <c r="L41" s="12" t="e">
        <f>#REF!</f>
        <v>#REF!</v>
      </c>
    </row>
    <row r="42" spans="2:20">
      <c r="B42" s="79" t="s">
        <v>1</v>
      </c>
      <c r="C42" s="603" t="e">
        <f>#REF!</f>
        <v>#REF!</v>
      </c>
      <c r="D42" s="604"/>
      <c r="E42" s="604"/>
      <c r="F42" s="604"/>
      <c r="G42" s="604"/>
      <c r="H42" s="604"/>
      <c r="I42" s="604"/>
      <c r="J42" s="605"/>
      <c r="K42" s="82"/>
      <c r="L42" s="12" t="e">
        <f>#REF!</f>
        <v>#REF!</v>
      </c>
    </row>
    <row r="43" spans="2:20">
      <c r="B43" s="79" t="s">
        <v>15</v>
      </c>
      <c r="C43" s="603" t="e">
        <f>#REF!</f>
        <v>#REF!</v>
      </c>
      <c r="D43" s="604"/>
      <c r="E43" s="604"/>
      <c r="F43" s="604"/>
      <c r="G43" s="604"/>
      <c r="H43" s="604"/>
      <c r="I43" s="604"/>
      <c r="J43" s="605"/>
      <c r="K43" s="82"/>
      <c r="L43" s="12" t="e">
        <f>#REF!</f>
        <v>#REF!</v>
      </c>
    </row>
    <row r="44" spans="2:20">
      <c r="B44" s="79" t="s">
        <v>16</v>
      </c>
      <c r="C44" s="620" t="s">
        <v>0</v>
      </c>
      <c r="D44" s="620"/>
      <c r="E44" s="620"/>
      <c r="F44" s="620"/>
      <c r="G44" s="620"/>
      <c r="H44" s="620"/>
      <c r="I44" s="620"/>
      <c r="J44" s="620"/>
      <c r="K44" s="620"/>
      <c r="L44" s="19">
        <v>0</v>
      </c>
    </row>
    <row r="45" spans="2:20">
      <c r="B45" s="614" t="s">
        <v>172</v>
      </c>
      <c r="C45" s="615"/>
      <c r="D45" s="615"/>
      <c r="E45" s="615"/>
      <c r="F45" s="615"/>
      <c r="G45" s="615"/>
      <c r="H45" s="615"/>
      <c r="I45" s="615"/>
      <c r="J45" s="616"/>
      <c r="K45" s="34"/>
      <c r="L45" s="12" t="e">
        <f>SUM(L37:L44)</f>
        <v>#REF!</v>
      </c>
    </row>
    <row r="46" spans="2:20">
      <c r="B46" s="93"/>
      <c r="C46" s="94"/>
      <c r="D46" s="94"/>
      <c r="E46" s="94"/>
      <c r="F46" s="94"/>
      <c r="G46" s="94"/>
      <c r="H46" s="94"/>
      <c r="I46" s="94"/>
      <c r="J46" s="95"/>
      <c r="K46" s="34"/>
      <c r="L46" s="12"/>
    </row>
    <row r="47" spans="2:20">
      <c r="B47" s="602" t="s">
        <v>173</v>
      </c>
      <c r="C47" s="602"/>
      <c r="D47" s="602"/>
      <c r="E47" s="602"/>
      <c r="F47" s="602"/>
      <c r="G47" s="602"/>
      <c r="H47" s="602"/>
      <c r="I47" s="602"/>
      <c r="J47" s="602"/>
      <c r="K47" s="602"/>
      <c r="L47" s="7" t="str">
        <f>L5</f>
        <v>SERVENTE</v>
      </c>
    </row>
    <row r="48" spans="2:20">
      <c r="B48" s="90" t="s">
        <v>174</v>
      </c>
      <c r="C48" s="603" t="s">
        <v>177</v>
      </c>
      <c r="D48" s="604"/>
      <c r="E48" s="604"/>
      <c r="F48" s="604"/>
      <c r="G48" s="604"/>
      <c r="H48" s="604"/>
      <c r="I48" s="604"/>
      <c r="J48" s="605"/>
      <c r="K48" s="80"/>
      <c r="L48" s="12" t="e">
        <f>L23</f>
        <v>#REF!</v>
      </c>
    </row>
    <row r="49" spans="2:12">
      <c r="B49" s="90" t="s">
        <v>175</v>
      </c>
      <c r="C49" s="603" t="s">
        <v>178</v>
      </c>
      <c r="D49" s="604"/>
      <c r="E49" s="604"/>
      <c r="F49" s="604"/>
      <c r="G49" s="604"/>
      <c r="H49" s="604"/>
      <c r="I49" s="604"/>
      <c r="J49" s="605"/>
      <c r="K49" s="80"/>
      <c r="L49" s="12" t="e">
        <f>L34</f>
        <v>#REF!</v>
      </c>
    </row>
    <row r="50" spans="2:12">
      <c r="B50" s="90" t="s">
        <v>176</v>
      </c>
      <c r="C50" s="603" t="s">
        <v>180</v>
      </c>
      <c r="D50" s="604"/>
      <c r="E50" s="604"/>
      <c r="F50" s="604"/>
      <c r="G50" s="604"/>
      <c r="H50" s="604"/>
      <c r="I50" s="604"/>
      <c r="J50" s="605"/>
      <c r="K50" s="80"/>
      <c r="L50" s="12" t="e">
        <f>L45</f>
        <v>#REF!</v>
      </c>
    </row>
    <row r="51" spans="2:12">
      <c r="B51" s="606" t="s">
        <v>179</v>
      </c>
      <c r="C51" s="607"/>
      <c r="D51" s="607"/>
      <c r="E51" s="607"/>
      <c r="F51" s="607"/>
      <c r="G51" s="607"/>
      <c r="H51" s="607"/>
      <c r="I51" s="607"/>
      <c r="J51" s="608"/>
      <c r="K51" s="101"/>
      <c r="L51" s="102" t="e">
        <f>SUM(L48:L50)</f>
        <v>#REF!</v>
      </c>
    </row>
    <row r="52" spans="2:12">
      <c r="B52" s="609"/>
      <c r="C52" s="610"/>
      <c r="D52" s="610"/>
      <c r="E52" s="610"/>
      <c r="F52" s="610"/>
      <c r="G52" s="610"/>
      <c r="H52" s="610"/>
      <c r="I52" s="610"/>
      <c r="J52" s="610"/>
      <c r="K52" s="610"/>
      <c r="L52" s="610"/>
    </row>
    <row r="53" spans="2:12">
      <c r="B53" s="611" t="s">
        <v>171</v>
      </c>
      <c r="C53" s="611"/>
      <c r="D53" s="611"/>
      <c r="E53" s="611"/>
      <c r="F53" s="611"/>
      <c r="G53" s="611"/>
      <c r="H53" s="611"/>
      <c r="I53" s="611"/>
      <c r="J53" s="611"/>
      <c r="K53" s="97" t="s">
        <v>9</v>
      </c>
      <c r="L53" s="98" t="s">
        <v>166</v>
      </c>
    </row>
    <row r="54" spans="2:12">
      <c r="B54" s="69" t="s">
        <v>4</v>
      </c>
      <c r="C54" s="617" t="s">
        <v>26</v>
      </c>
      <c r="D54" s="617"/>
      <c r="E54" s="617"/>
      <c r="F54" s="617"/>
      <c r="G54" s="617"/>
      <c r="H54" s="617"/>
      <c r="I54" s="38">
        <v>30</v>
      </c>
      <c r="J54" s="39">
        <v>0.05</v>
      </c>
      <c r="K54" s="34">
        <f>I54/30/12*J54</f>
        <v>4.1666666666666666E-3</v>
      </c>
      <c r="L54" s="12" t="e">
        <f t="shared" ref="L54:L59" si="0">ROUND(K54*$L$17,2)</f>
        <v>#REF!</v>
      </c>
    </row>
    <row r="55" spans="2:12">
      <c r="B55" s="69" t="s">
        <v>6</v>
      </c>
      <c r="C55" s="617" t="s">
        <v>27</v>
      </c>
      <c r="D55" s="617"/>
      <c r="E55" s="617"/>
      <c r="F55" s="617"/>
      <c r="G55" s="617"/>
      <c r="H55" s="617"/>
      <c r="I55" s="617"/>
      <c r="J55" s="617"/>
      <c r="K55" s="34">
        <f>K31*K54</f>
        <v>3.703703703703703E-4</v>
      </c>
      <c r="L55" s="12" t="e">
        <f t="shared" si="0"/>
        <v>#REF!</v>
      </c>
    </row>
    <row r="56" spans="2:12">
      <c r="B56" s="90" t="s">
        <v>10</v>
      </c>
      <c r="C56" s="617" t="s">
        <v>182</v>
      </c>
      <c r="D56" s="617"/>
      <c r="E56" s="617"/>
      <c r="F56" s="617"/>
      <c r="G56" s="617"/>
      <c r="H56" s="617"/>
      <c r="I56" s="617"/>
      <c r="J56" s="617"/>
      <c r="K56" s="34">
        <f>0.5*K55</f>
        <v>1.8518518518518515E-4</v>
      </c>
      <c r="L56" s="12" t="e">
        <f t="shared" si="0"/>
        <v>#REF!</v>
      </c>
    </row>
    <row r="57" spans="2:12">
      <c r="B57" s="90" t="s">
        <v>12</v>
      </c>
      <c r="C57" s="617" t="s">
        <v>184</v>
      </c>
      <c r="D57" s="617"/>
      <c r="E57" s="617"/>
      <c r="F57" s="617"/>
      <c r="G57" s="617"/>
      <c r="H57" s="617"/>
      <c r="I57" s="617"/>
      <c r="J57" s="617"/>
      <c r="K57" s="34">
        <v>4.0000000000000002E-4</v>
      </c>
      <c r="L57" s="12" t="e">
        <f t="shared" si="0"/>
        <v>#REF!</v>
      </c>
    </row>
    <row r="58" spans="2:12">
      <c r="B58" s="90" t="s">
        <v>14</v>
      </c>
      <c r="C58" s="617" t="s">
        <v>183</v>
      </c>
      <c r="D58" s="617"/>
      <c r="E58" s="617"/>
      <c r="F58" s="617"/>
      <c r="G58" s="617"/>
      <c r="H58" s="617"/>
      <c r="I58" s="617"/>
      <c r="J58" s="617"/>
      <c r="K58" s="34">
        <f>K34*K57</f>
        <v>1.5075555555555558E-4</v>
      </c>
      <c r="L58" s="12" t="e">
        <f t="shared" si="0"/>
        <v>#REF!</v>
      </c>
    </row>
    <row r="59" spans="2:12">
      <c r="B59" s="90" t="s">
        <v>1</v>
      </c>
      <c r="C59" s="617" t="s">
        <v>185</v>
      </c>
      <c r="D59" s="617"/>
      <c r="E59" s="617"/>
      <c r="F59" s="617"/>
      <c r="G59" s="617"/>
      <c r="H59" s="617"/>
      <c r="I59" s="617"/>
      <c r="J59" s="617"/>
      <c r="K59" s="96">
        <f>0.5*0.08*K57</f>
        <v>1.6000000000000003E-5</v>
      </c>
      <c r="L59" s="12" t="e">
        <f t="shared" si="0"/>
        <v>#REF!</v>
      </c>
    </row>
    <row r="60" spans="2:12" ht="15" customHeight="1">
      <c r="B60" s="606" t="s">
        <v>181</v>
      </c>
      <c r="C60" s="607"/>
      <c r="D60" s="607"/>
      <c r="E60" s="607"/>
      <c r="F60" s="607"/>
      <c r="G60" s="607"/>
      <c r="H60" s="607"/>
      <c r="I60" s="607"/>
      <c r="J60" s="608"/>
      <c r="K60" s="101"/>
      <c r="L60" s="102" t="e">
        <f>SUM(L54:L59)</f>
        <v>#REF!</v>
      </c>
    </row>
    <row r="61" spans="2:12">
      <c r="B61" s="20"/>
      <c r="C61" s="16"/>
      <c r="D61" s="16"/>
      <c r="E61" s="20"/>
      <c r="F61" s="20"/>
      <c r="G61" s="20"/>
      <c r="H61" s="20"/>
      <c r="I61" s="21"/>
      <c r="J61" s="22"/>
      <c r="K61" s="20"/>
    </row>
    <row r="62" spans="2:12">
      <c r="B62" s="611" t="s">
        <v>186</v>
      </c>
      <c r="C62" s="611"/>
      <c r="D62" s="611"/>
      <c r="E62" s="611"/>
      <c r="F62" s="611"/>
      <c r="G62" s="611"/>
      <c r="H62" s="611"/>
      <c r="I62" s="611"/>
      <c r="J62" s="611"/>
      <c r="K62" s="97"/>
      <c r="L62" s="98"/>
    </row>
    <row r="63" spans="2:12">
      <c r="B63" s="612" t="s">
        <v>191</v>
      </c>
      <c r="C63" s="613"/>
      <c r="D63" s="613"/>
      <c r="E63" s="613"/>
      <c r="F63" s="613"/>
      <c r="G63" s="613"/>
      <c r="H63" s="613"/>
      <c r="I63" s="613"/>
      <c r="J63" s="613"/>
      <c r="K63" s="92" t="s">
        <v>9</v>
      </c>
      <c r="L63" s="12" t="s">
        <v>166</v>
      </c>
    </row>
    <row r="64" spans="2:12">
      <c r="B64" s="69" t="s">
        <v>4</v>
      </c>
      <c r="C64" s="629" t="s">
        <v>187</v>
      </c>
      <c r="D64" s="629"/>
      <c r="E64" s="629"/>
      <c r="F64" s="629"/>
      <c r="G64" s="629"/>
      <c r="H64" s="629"/>
      <c r="I64" s="629"/>
      <c r="J64" s="629"/>
      <c r="K64" s="41">
        <f>1/12</f>
        <v>8.3333333333333329E-2</v>
      </c>
      <c r="L64" s="12" t="e">
        <f t="shared" ref="L64:L69" si="1">K64*$L$17</f>
        <v>#REF!</v>
      </c>
    </row>
    <row r="65" spans="2:13">
      <c r="B65" s="69" t="s">
        <v>6</v>
      </c>
      <c r="C65" s="617" t="s">
        <v>188</v>
      </c>
      <c r="D65" s="617"/>
      <c r="E65" s="617"/>
      <c r="F65" s="617"/>
      <c r="G65" s="640" t="s">
        <v>29</v>
      </c>
      <c r="H65" s="640"/>
      <c r="I65" s="640"/>
      <c r="J65" s="42">
        <v>3</v>
      </c>
      <c r="K65" s="41">
        <f>J65/30/12</f>
        <v>8.3333333333333332E-3</v>
      </c>
      <c r="L65" s="12" t="e">
        <f t="shared" si="1"/>
        <v>#REF!</v>
      </c>
      <c r="M65" s="1" t="s">
        <v>168</v>
      </c>
    </row>
    <row r="66" spans="2:13">
      <c r="B66" s="69" t="s">
        <v>10</v>
      </c>
      <c r="C66" s="617" t="s">
        <v>30</v>
      </c>
      <c r="D66" s="617"/>
      <c r="E66" s="617"/>
      <c r="F66" s="617"/>
      <c r="G66" s="640" t="s">
        <v>28</v>
      </c>
      <c r="H66" s="640"/>
      <c r="I66" s="36">
        <v>1.4999999999999999E-2</v>
      </c>
      <c r="J66" s="43">
        <v>5</v>
      </c>
      <c r="K66" s="41">
        <f>J66/30/12*I66</f>
        <v>2.0833333333333332E-4</v>
      </c>
      <c r="L66" s="12" t="e">
        <f t="shared" si="1"/>
        <v>#REF!</v>
      </c>
    </row>
    <row r="67" spans="2:13">
      <c r="B67" s="69" t="s">
        <v>12</v>
      </c>
      <c r="C67" s="640" t="s">
        <v>189</v>
      </c>
      <c r="D67" s="640"/>
      <c r="E67" s="640"/>
      <c r="F67" s="42"/>
      <c r="G67" s="640" t="s">
        <v>28</v>
      </c>
      <c r="H67" s="640"/>
      <c r="I67" s="36">
        <v>7.7999999999999996E-3</v>
      </c>
      <c r="J67" s="44">
        <v>15</v>
      </c>
      <c r="K67" s="41">
        <f>J67/30/12*I67</f>
        <v>3.2499999999999999E-4</v>
      </c>
      <c r="L67" s="12" t="e">
        <f t="shared" si="1"/>
        <v>#REF!</v>
      </c>
    </row>
    <row r="68" spans="2:13">
      <c r="B68" s="69" t="s">
        <v>14</v>
      </c>
      <c r="C68" s="640" t="s">
        <v>190</v>
      </c>
      <c r="D68" s="640"/>
      <c r="E68" s="640"/>
      <c r="F68" s="42"/>
      <c r="G68" s="641"/>
      <c r="H68" s="640"/>
      <c r="I68" s="36"/>
      <c r="J68" s="44"/>
      <c r="K68" s="41">
        <v>6.1000000000000004E-3</v>
      </c>
      <c r="L68" s="12" t="e">
        <f t="shared" si="1"/>
        <v>#REF!</v>
      </c>
      <c r="M68" s="64" t="s">
        <v>168</v>
      </c>
    </row>
    <row r="69" spans="2:13">
      <c r="B69" s="69" t="s">
        <v>1</v>
      </c>
      <c r="C69" s="620" t="s">
        <v>0</v>
      </c>
      <c r="D69" s="620"/>
      <c r="E69" s="620" t="s">
        <v>31</v>
      </c>
      <c r="F69" s="620"/>
      <c r="G69" s="620"/>
      <c r="H69" s="620"/>
      <c r="I69" s="620"/>
      <c r="J69" s="620"/>
      <c r="K69" s="45"/>
      <c r="L69" s="12" t="e">
        <f t="shared" si="1"/>
        <v>#REF!</v>
      </c>
      <c r="M69" s="64"/>
    </row>
    <row r="70" spans="2:13">
      <c r="B70" s="614" t="s">
        <v>192</v>
      </c>
      <c r="C70" s="615"/>
      <c r="D70" s="615"/>
      <c r="E70" s="615"/>
      <c r="F70" s="615"/>
      <c r="G70" s="615"/>
      <c r="H70" s="615"/>
      <c r="I70" s="615"/>
      <c r="J70" s="616"/>
      <c r="K70" s="46"/>
      <c r="L70" s="12" t="e">
        <f>SUM(L64:L69)</f>
        <v>#REF!</v>
      </c>
    </row>
    <row r="71" spans="2:13">
      <c r="B71" s="93"/>
      <c r="C71" s="94"/>
      <c r="D71" s="94"/>
      <c r="E71" s="94"/>
      <c r="F71" s="94"/>
      <c r="G71" s="94"/>
      <c r="H71" s="94"/>
      <c r="I71" s="94"/>
      <c r="J71" s="95"/>
      <c r="K71" s="34"/>
      <c r="L71" s="12"/>
    </row>
    <row r="72" spans="2:13">
      <c r="B72" s="612" t="s">
        <v>193</v>
      </c>
      <c r="C72" s="613"/>
      <c r="D72" s="613"/>
      <c r="E72" s="613"/>
      <c r="F72" s="613"/>
      <c r="G72" s="613"/>
      <c r="H72" s="613"/>
      <c r="I72" s="613"/>
      <c r="J72" s="613"/>
      <c r="K72" s="92" t="s">
        <v>9</v>
      </c>
      <c r="L72" s="12" t="s">
        <v>166</v>
      </c>
    </row>
    <row r="73" spans="2:13">
      <c r="B73" s="90" t="s">
        <v>4</v>
      </c>
      <c r="C73" s="629" t="s">
        <v>194</v>
      </c>
      <c r="D73" s="629"/>
      <c r="E73" s="629"/>
      <c r="F73" s="629"/>
      <c r="G73" s="629"/>
      <c r="H73" s="629"/>
      <c r="I73" s="629"/>
      <c r="J73" s="629"/>
      <c r="K73" s="41">
        <v>0</v>
      </c>
      <c r="L73" s="12" t="e">
        <f>K73*$L$17</f>
        <v>#REF!</v>
      </c>
    </row>
    <row r="74" spans="2:13">
      <c r="B74" s="614" t="s">
        <v>195</v>
      </c>
      <c r="C74" s="615"/>
      <c r="D74" s="615"/>
      <c r="E74" s="615"/>
      <c r="F74" s="615"/>
      <c r="G74" s="615"/>
      <c r="H74" s="615"/>
      <c r="I74" s="615"/>
      <c r="J74" s="616"/>
      <c r="K74" s="46"/>
      <c r="L74" s="12" t="e">
        <f>SUM(L73:L73)</f>
        <v>#REF!</v>
      </c>
    </row>
    <row r="75" spans="2:13">
      <c r="B75" s="93"/>
      <c r="C75" s="94"/>
      <c r="D75" s="94"/>
      <c r="E75" s="94"/>
      <c r="F75" s="94"/>
      <c r="G75" s="94"/>
      <c r="H75" s="94"/>
      <c r="I75" s="94"/>
      <c r="J75" s="94"/>
      <c r="K75" s="99"/>
      <c r="L75" s="12"/>
    </row>
    <row r="76" spans="2:13">
      <c r="B76" s="602" t="s">
        <v>196</v>
      </c>
      <c r="C76" s="602"/>
      <c r="D76" s="602"/>
      <c r="E76" s="602"/>
      <c r="F76" s="602"/>
      <c r="G76" s="602"/>
      <c r="H76" s="602"/>
      <c r="I76" s="602"/>
      <c r="J76" s="602"/>
      <c r="K76" s="602"/>
      <c r="L76" s="7" t="e">
        <f>L34</f>
        <v>#REF!</v>
      </c>
    </row>
    <row r="77" spans="2:13">
      <c r="B77" s="90" t="s">
        <v>197</v>
      </c>
      <c r="C77" s="603" t="s">
        <v>188</v>
      </c>
      <c r="D77" s="604"/>
      <c r="E77" s="604"/>
      <c r="F77" s="604"/>
      <c r="G77" s="604"/>
      <c r="H77" s="604"/>
      <c r="I77" s="604"/>
      <c r="J77" s="605"/>
      <c r="K77" s="80"/>
      <c r="L77" s="12" t="e">
        <f>L70</f>
        <v>#REF!</v>
      </c>
    </row>
    <row r="78" spans="2:13">
      <c r="B78" s="90" t="s">
        <v>198</v>
      </c>
      <c r="C78" s="603" t="s">
        <v>199</v>
      </c>
      <c r="D78" s="604"/>
      <c r="E78" s="604"/>
      <c r="F78" s="604"/>
      <c r="G78" s="604"/>
      <c r="H78" s="604"/>
      <c r="I78" s="604"/>
      <c r="J78" s="605"/>
      <c r="K78" s="80"/>
      <c r="L78" s="12" t="e">
        <f>L74</f>
        <v>#REF!</v>
      </c>
    </row>
    <row r="79" spans="2:13">
      <c r="B79" s="606" t="s">
        <v>200</v>
      </c>
      <c r="C79" s="607"/>
      <c r="D79" s="607"/>
      <c r="E79" s="607"/>
      <c r="F79" s="607"/>
      <c r="G79" s="607"/>
      <c r="H79" s="607"/>
      <c r="I79" s="607"/>
      <c r="J79" s="608"/>
      <c r="K79" s="101"/>
      <c r="L79" s="102" t="e">
        <f>SUM(L77:L78)</f>
        <v>#REF!</v>
      </c>
    </row>
    <row r="80" spans="2:13">
      <c r="B80" s="609"/>
      <c r="C80" s="610"/>
      <c r="D80" s="610"/>
      <c r="E80" s="610"/>
      <c r="F80" s="610"/>
      <c r="G80" s="610"/>
      <c r="H80" s="610"/>
      <c r="I80" s="610"/>
      <c r="J80" s="610"/>
      <c r="K80" s="610"/>
      <c r="L80" s="610"/>
    </row>
    <row r="81" spans="2:13">
      <c r="B81" s="611" t="s">
        <v>201</v>
      </c>
      <c r="C81" s="611"/>
      <c r="D81" s="611"/>
      <c r="E81" s="611"/>
      <c r="F81" s="611"/>
      <c r="G81" s="611"/>
      <c r="H81" s="611"/>
      <c r="I81" s="611"/>
      <c r="J81" s="611"/>
      <c r="K81" s="97"/>
      <c r="L81" s="98"/>
      <c r="M81" s="23"/>
    </row>
    <row r="82" spans="2:13">
      <c r="B82" s="69" t="s">
        <v>4</v>
      </c>
      <c r="C82" s="630" t="s">
        <v>54</v>
      </c>
      <c r="D82" s="630"/>
      <c r="E82" s="630"/>
      <c r="F82" s="630"/>
      <c r="G82" s="630"/>
      <c r="H82" s="630"/>
      <c r="I82" s="630"/>
      <c r="J82" s="630"/>
      <c r="K82" s="630"/>
      <c r="L82" s="12" t="e">
        <f>#REF!</f>
        <v>#REF!</v>
      </c>
    </row>
    <row r="83" spans="2:13">
      <c r="B83" s="69" t="s">
        <v>6</v>
      </c>
      <c r="C83" s="631" t="s">
        <v>203</v>
      </c>
      <c r="D83" s="632"/>
      <c r="E83" s="633" t="s">
        <v>55</v>
      </c>
      <c r="F83" s="634"/>
      <c r="G83" s="634"/>
      <c r="H83" s="634"/>
      <c r="I83" s="635"/>
      <c r="J83" s="636">
        <v>0.12</v>
      </c>
      <c r="K83" s="637"/>
      <c r="L83" s="19" t="e">
        <f>(L17+L51+L60+L79+L82)/(1-J83)*J83</f>
        <v>#REF!</v>
      </c>
      <c r="M83" s="24"/>
    </row>
    <row r="84" spans="2:13">
      <c r="B84" s="91" t="s">
        <v>210</v>
      </c>
      <c r="C84" s="631" t="s">
        <v>211</v>
      </c>
      <c r="D84" s="632"/>
      <c r="E84" s="633"/>
      <c r="F84" s="634"/>
      <c r="G84" s="634"/>
      <c r="H84" s="634"/>
      <c r="I84" s="635"/>
      <c r="J84" s="657">
        <f>H95+H96</f>
        <v>9.2499999999999999E-2</v>
      </c>
      <c r="K84" s="658"/>
      <c r="L84" s="19" t="e">
        <f>-J84*L83</f>
        <v>#REF!</v>
      </c>
      <c r="M84" s="24"/>
    </row>
    <row r="85" spans="2:13">
      <c r="B85" s="90" t="s">
        <v>10</v>
      </c>
      <c r="C85" s="83" t="s">
        <v>202</v>
      </c>
      <c r="D85" s="84"/>
      <c r="E85" s="85"/>
      <c r="F85" s="86"/>
      <c r="G85" s="86"/>
      <c r="H85" s="86"/>
      <c r="I85" s="87"/>
      <c r="J85" s="88"/>
      <c r="K85" s="89"/>
      <c r="L85" s="19"/>
      <c r="M85" s="24"/>
    </row>
    <row r="86" spans="2:13">
      <c r="B86" s="69" t="s">
        <v>204</v>
      </c>
      <c r="C86" s="620" t="s">
        <v>0</v>
      </c>
      <c r="D86" s="620"/>
      <c r="E86" s="620"/>
      <c r="F86" s="620"/>
      <c r="G86" s="620"/>
      <c r="H86" s="620"/>
      <c r="I86" s="620"/>
      <c r="J86" s="620"/>
      <c r="K86" s="620"/>
      <c r="L86" s="19">
        <v>0</v>
      </c>
    </row>
    <row r="87" spans="2:13">
      <c r="B87" s="606" t="s">
        <v>207</v>
      </c>
      <c r="C87" s="607"/>
      <c r="D87" s="607"/>
      <c r="E87" s="607"/>
      <c r="F87" s="607"/>
      <c r="G87" s="607"/>
      <c r="H87" s="607"/>
      <c r="I87" s="607"/>
      <c r="J87" s="608"/>
      <c r="K87" s="101"/>
      <c r="L87" s="102" t="e">
        <f>SUM(L82:L86)</f>
        <v>#REF!</v>
      </c>
    </row>
    <row r="88" spans="2:13">
      <c r="B88" s="25"/>
      <c r="C88" s="25"/>
      <c r="D88" s="25"/>
      <c r="E88" s="25"/>
      <c r="F88" s="25"/>
      <c r="G88" s="25"/>
      <c r="H88" s="25"/>
      <c r="I88" s="71"/>
      <c r="J88" s="25"/>
      <c r="K88" s="25"/>
    </row>
    <row r="89" spans="2:13">
      <c r="B89" s="16"/>
      <c r="C89" s="16"/>
      <c r="D89" s="16"/>
      <c r="E89" s="16"/>
      <c r="F89" s="16"/>
      <c r="G89" s="16"/>
      <c r="H89" s="48"/>
      <c r="I89" s="48"/>
      <c r="J89" s="48"/>
      <c r="K89" s="48"/>
      <c r="L89" s="49"/>
    </row>
    <row r="90" spans="2:13">
      <c r="B90" s="611" t="s">
        <v>205</v>
      </c>
      <c r="C90" s="611"/>
      <c r="D90" s="611"/>
      <c r="E90" s="611"/>
      <c r="F90" s="611"/>
      <c r="G90" s="611"/>
      <c r="H90" s="611"/>
      <c r="I90" s="611"/>
      <c r="J90" s="611"/>
      <c r="K90" s="97"/>
      <c r="L90" s="98" t="str">
        <f>L5</f>
        <v>SERVENTE</v>
      </c>
    </row>
    <row r="91" spans="2:13">
      <c r="B91" s="69" t="s">
        <v>4</v>
      </c>
      <c r="C91" s="629" t="s">
        <v>206</v>
      </c>
      <c r="D91" s="629"/>
      <c r="E91" s="629"/>
      <c r="F91" s="629"/>
      <c r="G91" s="629"/>
      <c r="H91" s="629"/>
      <c r="I91" s="629"/>
      <c r="J91" s="629"/>
      <c r="K91" s="65">
        <v>0.05</v>
      </c>
      <c r="L91" s="28" t="e">
        <f>K91*L110</f>
        <v>#REF!</v>
      </c>
      <c r="M91" s="50"/>
    </row>
    <row r="92" spans="2:13">
      <c r="B92" s="69" t="s">
        <v>6</v>
      </c>
      <c r="C92" s="629" t="s">
        <v>32</v>
      </c>
      <c r="D92" s="629"/>
      <c r="E92" s="629"/>
      <c r="F92" s="629"/>
      <c r="G92" s="629"/>
      <c r="H92" s="629"/>
      <c r="I92" s="629"/>
      <c r="J92" s="629"/>
      <c r="K92" s="65">
        <v>6.8099999999999994E-2</v>
      </c>
      <c r="L92" s="28" t="e">
        <f>K92*L110</f>
        <v>#REF!</v>
      </c>
      <c r="M92" s="50"/>
    </row>
    <row r="93" spans="2:13">
      <c r="B93" s="645" t="s">
        <v>10</v>
      </c>
      <c r="C93" s="646" t="s">
        <v>33</v>
      </c>
      <c r="D93" s="647"/>
      <c r="E93" s="647"/>
      <c r="F93" s="647"/>
      <c r="G93" s="647"/>
      <c r="H93" s="647"/>
      <c r="I93" s="648"/>
      <c r="J93" s="649" t="e">
        <f>L110+L91+L92</f>
        <v>#REF!</v>
      </c>
      <c r="K93" s="650"/>
      <c r="L93" s="47"/>
    </row>
    <row r="94" spans="2:13">
      <c r="B94" s="645"/>
      <c r="C94" s="651" t="s">
        <v>34</v>
      </c>
      <c r="D94" s="652"/>
      <c r="E94" s="652"/>
      <c r="F94" s="653"/>
      <c r="G94" s="70"/>
      <c r="H94" s="70" t="s">
        <v>35</v>
      </c>
      <c r="I94" s="70"/>
      <c r="J94" s="654"/>
      <c r="K94" s="655"/>
      <c r="L94" s="47"/>
    </row>
    <row r="95" spans="2:13">
      <c r="B95" s="645"/>
      <c r="C95" s="642" t="s">
        <v>36</v>
      </c>
      <c r="D95" s="642"/>
      <c r="E95" s="642"/>
      <c r="F95" s="642"/>
      <c r="G95" s="68" t="s">
        <v>37</v>
      </c>
      <c r="H95" s="35">
        <v>1.6500000000000001E-2</v>
      </c>
      <c r="I95" s="656">
        <f>SUM(H95:H100)</f>
        <v>0.13250000000000001</v>
      </c>
      <c r="J95" s="643" t="e">
        <f t="shared" ref="J95:J100" si="2">ROUND($L$112*H95,2)</f>
        <v>#REF!</v>
      </c>
      <c r="K95" s="644"/>
      <c r="L95" s="671" t="e">
        <f>SUM(J95:K100)</f>
        <v>#REF!</v>
      </c>
    </row>
    <row r="96" spans="2:13">
      <c r="B96" s="645"/>
      <c r="C96" s="642"/>
      <c r="D96" s="642"/>
      <c r="E96" s="642"/>
      <c r="F96" s="642"/>
      <c r="G96" s="68" t="s">
        <v>38</v>
      </c>
      <c r="H96" s="35">
        <v>7.5999999999999998E-2</v>
      </c>
      <c r="I96" s="656"/>
      <c r="J96" s="643" t="e">
        <f t="shared" si="2"/>
        <v>#REF!</v>
      </c>
      <c r="K96" s="644"/>
      <c r="L96" s="672"/>
    </row>
    <row r="97" spans="2:12">
      <c r="B97" s="645"/>
      <c r="C97" s="642"/>
      <c r="D97" s="642"/>
      <c r="E97" s="642"/>
      <c r="F97" s="642"/>
      <c r="G97" s="68" t="s">
        <v>39</v>
      </c>
      <c r="H97" s="35">
        <v>0</v>
      </c>
      <c r="I97" s="656"/>
      <c r="J97" s="643" t="e">
        <f t="shared" si="2"/>
        <v>#REF!</v>
      </c>
      <c r="K97" s="644"/>
      <c r="L97" s="672"/>
    </row>
    <row r="98" spans="2:12">
      <c r="B98" s="645"/>
      <c r="C98" s="642" t="s">
        <v>40</v>
      </c>
      <c r="D98" s="642"/>
      <c r="E98" s="642"/>
      <c r="F98" s="642"/>
      <c r="G98" s="67" t="s">
        <v>41</v>
      </c>
      <c r="H98" s="35">
        <v>0.04</v>
      </c>
      <c r="I98" s="656"/>
      <c r="J98" s="643" t="e">
        <f t="shared" si="2"/>
        <v>#REF!</v>
      </c>
      <c r="K98" s="644"/>
      <c r="L98" s="672"/>
    </row>
    <row r="99" spans="2:12">
      <c r="B99" s="645"/>
      <c r="C99" s="642"/>
      <c r="D99" s="642"/>
      <c r="E99" s="642"/>
      <c r="F99" s="642"/>
      <c r="G99" s="67" t="s">
        <v>39</v>
      </c>
      <c r="H99" s="35">
        <v>0</v>
      </c>
      <c r="I99" s="656"/>
      <c r="J99" s="643" t="e">
        <f t="shared" si="2"/>
        <v>#REF!</v>
      </c>
      <c r="K99" s="644"/>
      <c r="L99" s="672"/>
    </row>
    <row r="100" spans="2:12">
      <c r="B100" s="645"/>
      <c r="C100" s="642" t="s">
        <v>42</v>
      </c>
      <c r="D100" s="642"/>
      <c r="E100" s="642"/>
      <c r="F100" s="642"/>
      <c r="G100" s="67"/>
      <c r="H100" s="35">
        <v>0</v>
      </c>
      <c r="I100" s="656"/>
      <c r="J100" s="643" t="e">
        <f t="shared" si="2"/>
        <v>#REF!</v>
      </c>
      <c r="K100" s="644"/>
      <c r="L100" s="673"/>
    </row>
    <row r="101" spans="2:12">
      <c r="B101" s="645" t="s">
        <v>43</v>
      </c>
      <c r="C101" s="645"/>
      <c r="D101" s="645"/>
      <c r="E101" s="645"/>
      <c r="F101" s="645"/>
      <c r="G101" s="645"/>
      <c r="H101" s="645"/>
      <c r="I101" s="645"/>
      <c r="J101" s="645"/>
      <c r="K101" s="645"/>
      <c r="L101" s="60" t="e">
        <f>L95+L92+L91</f>
        <v>#REF!</v>
      </c>
    </row>
    <row r="102" spans="2:12">
      <c r="B102" s="51"/>
      <c r="C102" s="51"/>
      <c r="D102" s="51"/>
      <c r="E102" s="51"/>
      <c r="F102" s="51"/>
      <c r="G102" s="51"/>
      <c r="H102" s="51"/>
      <c r="I102" s="52"/>
      <c r="J102" s="53"/>
      <c r="K102" s="51"/>
    </row>
    <row r="103" spans="2:12">
      <c r="B103" s="670" t="s">
        <v>44</v>
      </c>
      <c r="C103" s="670"/>
      <c r="D103" s="670"/>
      <c r="E103" s="670"/>
      <c r="F103" s="670"/>
      <c r="G103" s="670"/>
      <c r="H103" s="670"/>
      <c r="I103" s="670"/>
      <c r="J103" s="670"/>
      <c r="K103" s="670"/>
      <c r="L103" s="670"/>
    </row>
    <row r="104" spans="2:12">
      <c r="B104" s="665" t="s">
        <v>45</v>
      </c>
      <c r="C104" s="665"/>
      <c r="D104" s="665"/>
      <c r="E104" s="665"/>
      <c r="F104" s="665"/>
      <c r="G104" s="665"/>
      <c r="H104" s="665"/>
      <c r="I104" s="665"/>
      <c r="J104" s="665"/>
      <c r="K104" s="665"/>
      <c r="L104" s="7" t="str">
        <f>L5</f>
        <v>SERVENTE</v>
      </c>
    </row>
    <row r="105" spans="2:12">
      <c r="B105" s="69" t="s">
        <v>4</v>
      </c>
      <c r="C105" s="629" t="str">
        <f>B6</f>
        <v xml:space="preserve">MÓDULO 01 – Composição da Remuneração </v>
      </c>
      <c r="D105" s="629"/>
      <c r="E105" s="629"/>
      <c r="F105" s="629"/>
      <c r="G105" s="629"/>
      <c r="H105" s="629"/>
      <c r="I105" s="629"/>
      <c r="J105" s="629"/>
      <c r="K105" s="629"/>
      <c r="L105" s="54" t="e">
        <f>L17</f>
        <v>#REF!</v>
      </c>
    </row>
    <row r="106" spans="2:12">
      <c r="B106" s="69" t="s">
        <v>6</v>
      </c>
      <c r="C106" s="629" t="str">
        <f>B19</f>
        <v>MÓDULO 2 – ENCARGOS E BENEFÍCIOS ANUAIS, MENSAIS E DIÁRIOS</v>
      </c>
      <c r="D106" s="629"/>
      <c r="E106" s="629"/>
      <c r="F106" s="629"/>
      <c r="G106" s="629"/>
      <c r="H106" s="629"/>
      <c r="I106" s="629"/>
      <c r="J106" s="629"/>
      <c r="K106" s="629"/>
      <c r="L106" s="54" t="e">
        <f>L51</f>
        <v>#REF!</v>
      </c>
    </row>
    <row r="107" spans="2:12">
      <c r="B107" s="69" t="s">
        <v>10</v>
      </c>
      <c r="C107" s="629" t="str">
        <f>B53</f>
        <v>MÓDULO 3 – PROVISÃO PARA RESCISÃO</v>
      </c>
      <c r="D107" s="629"/>
      <c r="E107" s="629"/>
      <c r="F107" s="629"/>
      <c r="G107" s="629"/>
      <c r="H107" s="629"/>
      <c r="I107" s="629"/>
      <c r="J107" s="629"/>
      <c r="K107" s="629"/>
      <c r="L107" s="54" t="e">
        <f>L60</f>
        <v>#REF!</v>
      </c>
    </row>
    <row r="108" spans="2:12">
      <c r="B108" s="69" t="s">
        <v>12</v>
      </c>
      <c r="C108" s="629" t="str">
        <f>B62</f>
        <v>MÓDULO 4 – CUSTO DE REPOSIÇÃO DO PROFISSIONAL AUSENTE</v>
      </c>
      <c r="D108" s="629"/>
      <c r="E108" s="629"/>
      <c r="F108" s="629"/>
      <c r="G108" s="629"/>
      <c r="H108" s="629"/>
      <c r="I108" s="629"/>
      <c r="J108" s="629"/>
      <c r="K108" s="629"/>
      <c r="L108" s="54" t="e">
        <f>L79</f>
        <v>#REF!</v>
      </c>
    </row>
    <row r="109" spans="2:12">
      <c r="B109" s="90" t="s">
        <v>14</v>
      </c>
      <c r="C109" s="629" t="str">
        <f>B81</f>
        <v>MÓDULO 5 – INSUMOS DIVERSOS</v>
      </c>
      <c r="D109" s="629"/>
      <c r="E109" s="629"/>
      <c r="F109" s="629"/>
      <c r="G109" s="629"/>
      <c r="H109" s="629"/>
      <c r="I109" s="629"/>
      <c r="J109" s="629"/>
      <c r="K109" s="629"/>
      <c r="L109" s="54" t="e">
        <f>L87</f>
        <v>#REF!</v>
      </c>
    </row>
    <row r="110" spans="2:12">
      <c r="B110" s="665" t="s">
        <v>209</v>
      </c>
      <c r="C110" s="665"/>
      <c r="D110" s="665"/>
      <c r="E110" s="665"/>
      <c r="F110" s="665"/>
      <c r="G110" s="665"/>
      <c r="H110" s="665"/>
      <c r="I110" s="665"/>
      <c r="J110" s="665"/>
      <c r="K110" s="665"/>
      <c r="L110" s="61" t="e">
        <f>SUM(L105:L109)</f>
        <v>#REF!</v>
      </c>
    </row>
    <row r="111" spans="2:12">
      <c r="B111" s="69" t="s">
        <v>14</v>
      </c>
      <c r="C111" s="629" t="s">
        <v>46</v>
      </c>
      <c r="D111" s="629"/>
      <c r="E111" s="629"/>
      <c r="F111" s="629"/>
      <c r="G111" s="629"/>
      <c r="H111" s="629"/>
      <c r="I111" s="629"/>
      <c r="J111" s="629"/>
      <c r="K111" s="629"/>
      <c r="L111" s="55" t="e">
        <f>L112-L110</f>
        <v>#REF!</v>
      </c>
    </row>
    <row r="112" spans="2:12">
      <c r="B112" s="666" t="s">
        <v>47</v>
      </c>
      <c r="C112" s="666"/>
      <c r="D112" s="666"/>
      <c r="E112" s="666"/>
      <c r="F112" s="666"/>
      <c r="G112" s="666"/>
      <c r="H112" s="666"/>
      <c r="I112" s="666"/>
      <c r="J112" s="666"/>
      <c r="K112" s="666"/>
      <c r="L112" s="62" t="e">
        <f>ROUND(J93/(1-$I$95),2)</f>
        <v>#REF!</v>
      </c>
    </row>
    <row r="113" spans="6:12">
      <c r="K113" s="50"/>
    </row>
    <row r="115" spans="6:12">
      <c r="F115" s="667" t="s">
        <v>48</v>
      </c>
      <c r="G115" s="668"/>
      <c r="H115" s="668"/>
      <c r="I115" s="669"/>
      <c r="J115" s="1"/>
      <c r="L115" s="1"/>
    </row>
    <row r="116" spans="6:12">
      <c r="F116" s="667" t="s">
        <v>49</v>
      </c>
      <c r="G116" s="668"/>
      <c r="H116" s="669"/>
      <c r="I116" s="56" t="s">
        <v>9</v>
      </c>
      <c r="J116" s="1"/>
      <c r="L116" s="1"/>
    </row>
    <row r="117" spans="6:12">
      <c r="F117" s="57" t="s">
        <v>50</v>
      </c>
      <c r="G117" s="57"/>
      <c r="H117" s="58"/>
      <c r="I117" s="58">
        <f>K91</f>
        <v>0.05</v>
      </c>
      <c r="J117" s="1"/>
      <c r="L117" s="1"/>
    </row>
    <row r="118" spans="6:12">
      <c r="F118" s="659" t="s">
        <v>32</v>
      </c>
      <c r="G118" s="660"/>
      <c r="H118" s="661"/>
      <c r="I118" s="58">
        <f>K92</f>
        <v>6.8099999999999994E-2</v>
      </c>
      <c r="J118" s="1"/>
      <c r="L118" s="1"/>
    </row>
    <row r="119" spans="6:12">
      <c r="F119" s="57" t="s">
        <v>51</v>
      </c>
      <c r="G119" s="57"/>
      <c r="H119" s="58"/>
      <c r="I119" s="58">
        <f>I95</f>
        <v>0.13250000000000001</v>
      </c>
      <c r="J119" s="1"/>
      <c r="L119" s="1"/>
    </row>
    <row r="120" spans="6:12">
      <c r="F120" s="662" t="s">
        <v>52</v>
      </c>
      <c r="G120" s="663"/>
      <c r="H120" s="664"/>
      <c r="I120" s="58">
        <f>(1+I117)*(1+I118)/(1-I119)-1</f>
        <v>0.29280115273775253</v>
      </c>
      <c r="J120" s="1"/>
      <c r="L120" s="1"/>
    </row>
  </sheetData>
  <mergeCells count="126">
    <mergeCell ref="C12:I12"/>
    <mergeCell ref="C13:I13"/>
    <mergeCell ref="B25:J25"/>
    <mergeCell ref="C84:D84"/>
    <mergeCell ref="E84:I84"/>
    <mergeCell ref="J84:K84"/>
    <mergeCell ref="B2:L2"/>
    <mergeCell ref="B3:L4"/>
    <mergeCell ref="B6:L6"/>
    <mergeCell ref="C7:K7"/>
    <mergeCell ref="C9:E9"/>
    <mergeCell ref="F9:I9"/>
    <mergeCell ref="C8:K8"/>
    <mergeCell ref="C10:I10"/>
    <mergeCell ref="C11:I11"/>
    <mergeCell ref="C14:I14"/>
    <mergeCell ref="C15:K15"/>
    <mergeCell ref="C16:K16"/>
    <mergeCell ref="B17:K17"/>
    <mergeCell ref="C57:H57"/>
    <mergeCell ref="B53:J53"/>
    <mergeCell ref="C54:H54"/>
    <mergeCell ref="B52:L52"/>
    <mergeCell ref="C65:F65"/>
    <mergeCell ref="C58:H58"/>
    <mergeCell ref="I58:J58"/>
    <mergeCell ref="C59:H59"/>
    <mergeCell ref="C86:K86"/>
    <mergeCell ref="B19:K19"/>
    <mergeCell ref="B20:J20"/>
    <mergeCell ref="B23:J23"/>
    <mergeCell ref="C21:J21"/>
    <mergeCell ref="C22:J22"/>
    <mergeCell ref="B45:J45"/>
    <mergeCell ref="C26:J26"/>
    <mergeCell ref="C27:J27"/>
    <mergeCell ref="C44:K44"/>
    <mergeCell ref="C82:K82"/>
    <mergeCell ref="C83:D83"/>
    <mergeCell ref="E83:I83"/>
    <mergeCell ref="J83:K83"/>
    <mergeCell ref="B47:K47"/>
    <mergeCell ref="C48:J48"/>
    <mergeCell ref="C49:J49"/>
    <mergeCell ref="C50:J50"/>
    <mergeCell ref="B51:J51"/>
    <mergeCell ref="B60:J60"/>
    <mergeCell ref="C55:H55"/>
    <mergeCell ref="B36:J36"/>
    <mergeCell ref="C37:J37"/>
    <mergeCell ref="C38:J38"/>
    <mergeCell ref="C39:J39"/>
    <mergeCell ref="C40:J40"/>
    <mergeCell ref="C41:J41"/>
    <mergeCell ref="C42:J42"/>
    <mergeCell ref="C43:J43"/>
    <mergeCell ref="I57:J57"/>
    <mergeCell ref="I55:J55"/>
    <mergeCell ref="C56:H56"/>
    <mergeCell ref="I56:J56"/>
    <mergeCell ref="C28:J28"/>
    <mergeCell ref="C29:J29"/>
    <mergeCell ref="C30:J30"/>
    <mergeCell ref="C32:F32"/>
    <mergeCell ref="C33:J33"/>
    <mergeCell ref="C31:D31"/>
    <mergeCell ref="E31:F31"/>
    <mergeCell ref="G31:J31"/>
    <mergeCell ref="B34:J34"/>
    <mergeCell ref="B90:J90"/>
    <mergeCell ref="C100:F100"/>
    <mergeCell ref="J100:K100"/>
    <mergeCell ref="C92:J92"/>
    <mergeCell ref="B93:B100"/>
    <mergeCell ref="C93:I93"/>
    <mergeCell ref="J93:K93"/>
    <mergeCell ref="F118:H118"/>
    <mergeCell ref="F120:H120"/>
    <mergeCell ref="C108:K108"/>
    <mergeCell ref="B110:K110"/>
    <mergeCell ref="C111:K111"/>
    <mergeCell ref="B112:K112"/>
    <mergeCell ref="F115:I115"/>
    <mergeCell ref="F116:H116"/>
    <mergeCell ref="B101:K101"/>
    <mergeCell ref="B103:L103"/>
    <mergeCell ref="B104:K104"/>
    <mergeCell ref="C105:K105"/>
    <mergeCell ref="C106:K106"/>
    <mergeCell ref="C107:K107"/>
    <mergeCell ref="C109:K109"/>
    <mergeCell ref="I95:I100"/>
    <mergeCell ref="J95:K95"/>
    <mergeCell ref="C91:J91"/>
    <mergeCell ref="L95:L100"/>
    <mergeCell ref="J96:K96"/>
    <mergeCell ref="J97:K97"/>
    <mergeCell ref="C98:F99"/>
    <mergeCell ref="J98:K98"/>
    <mergeCell ref="J99:K99"/>
    <mergeCell ref="C94:F94"/>
    <mergeCell ref="J94:K94"/>
    <mergeCell ref="C95:F97"/>
    <mergeCell ref="I59:J59"/>
    <mergeCell ref="G67:H67"/>
    <mergeCell ref="C67:E67"/>
    <mergeCell ref="C68:E68"/>
    <mergeCell ref="B70:J70"/>
    <mergeCell ref="B63:J63"/>
    <mergeCell ref="B87:J87"/>
    <mergeCell ref="B62:J62"/>
    <mergeCell ref="C64:J64"/>
    <mergeCell ref="G68:H68"/>
    <mergeCell ref="C69:J69"/>
    <mergeCell ref="B72:J72"/>
    <mergeCell ref="C73:J73"/>
    <mergeCell ref="G65:I65"/>
    <mergeCell ref="C66:F66"/>
    <mergeCell ref="G66:H66"/>
    <mergeCell ref="C78:J78"/>
    <mergeCell ref="B74:J74"/>
    <mergeCell ref="B76:K76"/>
    <mergeCell ref="C77:J77"/>
    <mergeCell ref="B79:J79"/>
    <mergeCell ref="B80:L80"/>
    <mergeCell ref="B81:J81"/>
  </mergeCells>
  <pageMargins left="0.511811024" right="0.511811024" top="0.78740157499999996" bottom="0.78740157499999996" header="0.31496062000000002" footer="0.31496062000000002"/>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T120"/>
  <sheetViews>
    <sheetView workbookViewId="0">
      <selection activeCell="G85" sqref="G85"/>
    </sheetView>
  </sheetViews>
  <sheetFormatPr defaultColWidth="11.85546875" defaultRowHeight="15"/>
  <cols>
    <col min="1" max="1" width="6.28515625" style="1" customWidth="1"/>
    <col min="2" max="2" width="4.5703125" style="1" customWidth="1"/>
    <col min="3" max="3" width="9" style="1" customWidth="1"/>
    <col min="4" max="4" width="25" style="1" customWidth="1"/>
    <col min="5" max="5" width="4.7109375" style="1" bestFit="1" customWidth="1"/>
    <col min="6" max="6" width="9" style="1" bestFit="1" customWidth="1"/>
    <col min="7" max="7" width="10.42578125" style="1" customWidth="1"/>
    <col min="8" max="8" width="10.7109375" style="1" customWidth="1"/>
    <col min="9" max="9" width="16.7109375" style="32" customWidth="1"/>
    <col min="10" max="10" width="9" style="33" bestFit="1" customWidth="1"/>
    <col min="11" max="11" width="9.140625" style="1" bestFit="1" customWidth="1"/>
    <col min="12" max="12" width="12.7109375" style="18" bestFit="1" customWidth="1"/>
    <col min="13" max="13" width="13.28515625" style="1" bestFit="1" customWidth="1"/>
    <col min="14" max="16384" width="11.85546875" style="1"/>
  </cols>
  <sheetData>
    <row r="2" spans="2:13">
      <c r="B2" s="622" t="s">
        <v>2</v>
      </c>
      <c r="C2" s="622"/>
      <c r="D2" s="622"/>
      <c r="E2" s="622"/>
      <c r="F2" s="622"/>
      <c r="G2" s="622"/>
      <c r="H2" s="622"/>
      <c r="I2" s="622"/>
      <c r="J2" s="622"/>
      <c r="K2" s="622"/>
      <c r="L2" s="622"/>
    </row>
    <row r="3" spans="2:13" s="2" customFormat="1">
      <c r="B3" s="623" t="e">
        <f>#REF!</f>
        <v>#REF!</v>
      </c>
      <c r="C3" s="624"/>
      <c r="D3" s="624"/>
      <c r="E3" s="624"/>
      <c r="F3" s="624"/>
      <c r="G3" s="624"/>
      <c r="H3" s="624"/>
      <c r="I3" s="624"/>
      <c r="J3" s="624"/>
      <c r="K3" s="624"/>
      <c r="L3" s="625"/>
    </row>
    <row r="4" spans="2:13" s="2" customFormat="1">
      <c r="B4" s="626"/>
      <c r="C4" s="627"/>
      <c r="D4" s="627"/>
      <c r="E4" s="627"/>
      <c r="F4" s="627"/>
      <c r="G4" s="627"/>
      <c r="H4" s="627"/>
      <c r="I4" s="627"/>
      <c r="J4" s="627"/>
      <c r="K4" s="627"/>
      <c r="L4" s="628"/>
    </row>
    <row r="5" spans="2:13">
      <c r="B5" s="3"/>
      <c r="C5" s="4"/>
      <c r="D5" s="4"/>
      <c r="E5" s="4"/>
      <c r="F5" s="4"/>
      <c r="G5" s="4"/>
      <c r="H5" s="4"/>
      <c r="I5" s="5"/>
      <c r="J5" s="4"/>
      <c r="K5" s="6"/>
      <c r="L5" s="7" t="s">
        <v>53</v>
      </c>
    </row>
    <row r="6" spans="2:13">
      <c r="B6" s="611" t="s">
        <v>3</v>
      </c>
      <c r="C6" s="611"/>
      <c r="D6" s="611"/>
      <c r="E6" s="611"/>
      <c r="F6" s="611"/>
      <c r="G6" s="611"/>
      <c r="H6" s="611"/>
      <c r="I6" s="611"/>
      <c r="J6" s="611"/>
      <c r="K6" s="611"/>
      <c r="L6" s="611"/>
    </row>
    <row r="7" spans="2:13">
      <c r="B7" s="69" t="s">
        <v>4</v>
      </c>
      <c r="C7" s="629" t="s">
        <v>5</v>
      </c>
      <c r="D7" s="629"/>
      <c r="E7" s="629"/>
      <c r="F7" s="629"/>
      <c r="G7" s="629"/>
      <c r="H7" s="629"/>
      <c r="I7" s="629"/>
      <c r="J7" s="629"/>
      <c r="K7" s="629"/>
      <c r="L7" s="9" t="e">
        <f>#REF!</f>
        <v>#REF!</v>
      </c>
    </row>
    <row r="8" spans="2:13">
      <c r="B8" s="79" t="s">
        <v>154</v>
      </c>
      <c r="C8" s="629" t="s">
        <v>155</v>
      </c>
      <c r="D8" s="629"/>
      <c r="E8" s="629"/>
      <c r="F8" s="629"/>
      <c r="G8" s="629"/>
      <c r="H8" s="629"/>
      <c r="I8" s="629"/>
      <c r="J8" s="629"/>
      <c r="K8" s="629"/>
      <c r="L8" s="9"/>
    </row>
    <row r="9" spans="2:13">
      <c r="B9" s="69" t="s">
        <v>6</v>
      </c>
      <c r="C9" s="629" t="s">
        <v>7</v>
      </c>
      <c r="D9" s="629"/>
      <c r="E9" s="629"/>
      <c r="F9" s="617" t="s">
        <v>8</v>
      </c>
      <c r="G9" s="617"/>
      <c r="H9" s="617"/>
      <c r="I9" s="617"/>
      <c r="J9" s="10" t="s">
        <v>9</v>
      </c>
      <c r="K9" s="11">
        <v>0</v>
      </c>
      <c r="L9" s="12">
        <v>0</v>
      </c>
      <c r="M9" s="13"/>
    </row>
    <row r="10" spans="2:13">
      <c r="B10" s="90" t="s">
        <v>10</v>
      </c>
      <c r="C10" s="603" t="s">
        <v>160</v>
      </c>
      <c r="D10" s="604"/>
      <c r="E10" s="604"/>
      <c r="F10" s="604"/>
      <c r="G10" s="604"/>
      <c r="H10" s="604"/>
      <c r="I10" s="605"/>
      <c r="J10" s="10" t="s">
        <v>9</v>
      </c>
      <c r="K10" s="11">
        <v>0</v>
      </c>
      <c r="L10" s="12">
        <v>0</v>
      </c>
      <c r="M10" s="13"/>
    </row>
    <row r="11" spans="2:13">
      <c r="B11" s="90" t="s">
        <v>12</v>
      </c>
      <c r="C11" s="603" t="s">
        <v>157</v>
      </c>
      <c r="D11" s="604"/>
      <c r="E11" s="604"/>
      <c r="F11" s="604"/>
      <c r="G11" s="604"/>
      <c r="H11" s="604"/>
      <c r="I11" s="605"/>
      <c r="J11" s="10" t="s">
        <v>9</v>
      </c>
      <c r="K11" s="11">
        <v>0</v>
      </c>
      <c r="L11" s="12">
        <v>0</v>
      </c>
      <c r="M11" s="13"/>
    </row>
    <row r="12" spans="2:13">
      <c r="B12" s="90" t="s">
        <v>14</v>
      </c>
      <c r="C12" s="603" t="s">
        <v>158</v>
      </c>
      <c r="D12" s="604"/>
      <c r="E12" s="604"/>
      <c r="F12" s="604"/>
      <c r="G12" s="604"/>
      <c r="H12" s="604"/>
      <c r="I12" s="605"/>
      <c r="J12" s="10" t="s">
        <v>9</v>
      </c>
      <c r="K12" s="11">
        <v>0</v>
      </c>
      <c r="L12" s="12">
        <v>0</v>
      </c>
      <c r="M12" s="13"/>
    </row>
    <row r="13" spans="2:13">
      <c r="B13" s="90" t="s">
        <v>1</v>
      </c>
      <c r="C13" s="603" t="s">
        <v>159</v>
      </c>
      <c r="D13" s="604"/>
      <c r="E13" s="604"/>
      <c r="F13" s="604"/>
      <c r="G13" s="604"/>
      <c r="H13" s="604"/>
      <c r="I13" s="605"/>
      <c r="J13" s="10" t="s">
        <v>9</v>
      </c>
      <c r="K13" s="11">
        <v>0</v>
      </c>
      <c r="L13" s="12">
        <v>0</v>
      </c>
      <c r="M13" s="13"/>
    </row>
    <row r="14" spans="2:13">
      <c r="B14" s="90" t="s">
        <v>15</v>
      </c>
      <c r="C14" s="618" t="s">
        <v>11</v>
      </c>
      <c r="D14" s="618"/>
      <c r="E14" s="618"/>
      <c r="F14" s="618"/>
      <c r="G14" s="618"/>
      <c r="H14" s="618"/>
      <c r="I14" s="618"/>
      <c r="J14" s="10" t="s">
        <v>9</v>
      </c>
      <c r="K14" s="14">
        <v>0</v>
      </c>
      <c r="L14" s="12">
        <v>0</v>
      </c>
      <c r="M14" s="13"/>
    </row>
    <row r="15" spans="2:13">
      <c r="B15" s="90" t="s">
        <v>16</v>
      </c>
      <c r="C15" s="619" t="s">
        <v>13</v>
      </c>
      <c r="D15" s="619"/>
      <c r="E15" s="619"/>
      <c r="F15" s="619"/>
      <c r="G15" s="619"/>
      <c r="H15" s="619"/>
      <c r="I15" s="619"/>
      <c r="J15" s="619"/>
      <c r="K15" s="619"/>
      <c r="L15" s="12">
        <v>0</v>
      </c>
      <c r="M15" s="13"/>
    </row>
    <row r="16" spans="2:13">
      <c r="B16" s="90" t="s">
        <v>156</v>
      </c>
      <c r="C16" s="620" t="s">
        <v>0</v>
      </c>
      <c r="D16" s="620"/>
      <c r="E16" s="620"/>
      <c r="F16" s="620"/>
      <c r="G16" s="620"/>
      <c r="H16" s="620"/>
      <c r="I16" s="620"/>
      <c r="J16" s="620"/>
      <c r="K16" s="620"/>
      <c r="L16" s="12"/>
      <c r="M16" s="13"/>
    </row>
    <row r="17" spans="2:13">
      <c r="B17" s="621" t="s">
        <v>208</v>
      </c>
      <c r="C17" s="621"/>
      <c r="D17" s="621"/>
      <c r="E17" s="621"/>
      <c r="F17" s="621"/>
      <c r="G17" s="621"/>
      <c r="H17" s="621"/>
      <c r="I17" s="621"/>
      <c r="J17" s="621"/>
      <c r="K17" s="621"/>
      <c r="L17" s="100" t="e">
        <f>SUM(L7:L16)</f>
        <v>#REF!</v>
      </c>
      <c r="M17" s="15"/>
    </row>
    <row r="18" spans="2:13">
      <c r="B18" s="16"/>
      <c r="C18" s="16"/>
      <c r="D18" s="16"/>
      <c r="E18" s="16"/>
      <c r="F18" s="16"/>
      <c r="G18" s="16"/>
      <c r="H18" s="16"/>
      <c r="I18" s="17"/>
      <c r="J18" s="16"/>
      <c r="K18" s="16"/>
    </row>
    <row r="19" spans="2:13">
      <c r="B19" s="611" t="s">
        <v>161</v>
      </c>
      <c r="C19" s="611"/>
      <c r="D19" s="611"/>
      <c r="E19" s="611"/>
      <c r="F19" s="611"/>
      <c r="G19" s="611"/>
      <c r="H19" s="611"/>
      <c r="I19" s="611"/>
      <c r="J19" s="611"/>
      <c r="K19" s="611"/>
      <c r="L19" s="7" t="str">
        <f>L5</f>
        <v>SERVENTE</v>
      </c>
    </row>
    <row r="20" spans="2:13">
      <c r="B20" s="612" t="s">
        <v>162</v>
      </c>
      <c r="C20" s="613"/>
      <c r="D20" s="613"/>
      <c r="E20" s="613"/>
      <c r="F20" s="613"/>
      <c r="G20" s="613"/>
      <c r="H20" s="613"/>
      <c r="I20" s="613"/>
      <c r="J20" s="613"/>
      <c r="K20" s="92" t="s">
        <v>9</v>
      </c>
      <c r="L20" s="12" t="s">
        <v>166</v>
      </c>
    </row>
    <row r="21" spans="2:13">
      <c r="B21" s="90" t="s">
        <v>4</v>
      </c>
      <c r="C21" s="603" t="s">
        <v>163</v>
      </c>
      <c r="D21" s="604"/>
      <c r="E21" s="604"/>
      <c r="F21" s="604"/>
      <c r="G21" s="604"/>
      <c r="H21" s="604"/>
      <c r="I21" s="604"/>
      <c r="J21" s="605"/>
      <c r="K21" s="34">
        <v>8.3299999999999999E-2</v>
      </c>
      <c r="L21" s="12" t="e">
        <f>K21*L17</f>
        <v>#REF!</v>
      </c>
    </row>
    <row r="22" spans="2:13">
      <c r="B22" s="90" t="s">
        <v>6</v>
      </c>
      <c r="C22" s="603" t="s">
        <v>164</v>
      </c>
      <c r="D22" s="604"/>
      <c r="E22" s="604"/>
      <c r="F22" s="604"/>
      <c r="G22" s="604"/>
      <c r="H22" s="604"/>
      <c r="I22" s="604"/>
      <c r="J22" s="605"/>
      <c r="K22" s="34">
        <v>2.7799999999999998E-2</v>
      </c>
      <c r="L22" s="12" t="e">
        <f>K22*L17</f>
        <v>#REF!</v>
      </c>
    </row>
    <row r="23" spans="2:13">
      <c r="B23" s="614" t="s">
        <v>165</v>
      </c>
      <c r="C23" s="615"/>
      <c r="D23" s="615"/>
      <c r="E23" s="615"/>
      <c r="F23" s="615"/>
      <c r="G23" s="615"/>
      <c r="H23" s="615"/>
      <c r="I23" s="615"/>
      <c r="J23" s="616"/>
      <c r="K23" s="34">
        <f>SUM(K21:K22)</f>
        <v>0.1111</v>
      </c>
      <c r="L23" s="12" t="e">
        <f>SUM(L21:L22)</f>
        <v>#REF!</v>
      </c>
    </row>
    <row r="24" spans="2:13">
      <c r="B24" s="93"/>
      <c r="C24" s="94"/>
      <c r="D24" s="94"/>
      <c r="E24" s="94"/>
      <c r="F24" s="94"/>
      <c r="G24" s="94"/>
      <c r="H24" s="94"/>
      <c r="I24" s="94"/>
      <c r="J24" s="95"/>
      <c r="K24" s="34"/>
      <c r="L24" s="12"/>
    </row>
    <row r="25" spans="2:13">
      <c r="B25" s="612" t="s">
        <v>167</v>
      </c>
      <c r="C25" s="613"/>
      <c r="D25" s="613"/>
      <c r="E25" s="613"/>
      <c r="F25" s="613"/>
      <c r="G25" s="613"/>
      <c r="H25" s="613"/>
      <c r="I25" s="613"/>
      <c r="J25" s="613"/>
      <c r="K25" s="92" t="s">
        <v>9</v>
      </c>
      <c r="L25" s="12" t="s">
        <v>166</v>
      </c>
    </row>
    <row r="26" spans="2:13">
      <c r="B26" s="74" t="s">
        <v>4</v>
      </c>
      <c r="C26" s="617" t="s">
        <v>17</v>
      </c>
      <c r="D26" s="617"/>
      <c r="E26" s="617"/>
      <c r="F26" s="617"/>
      <c r="G26" s="617"/>
      <c r="H26" s="617"/>
      <c r="I26" s="617"/>
      <c r="J26" s="617"/>
      <c r="K26" s="27">
        <v>0.2</v>
      </c>
      <c r="L26" s="28" t="e">
        <f>ROUND($K$26*L17,2)</f>
        <v>#REF!</v>
      </c>
    </row>
    <row r="27" spans="2:13">
      <c r="B27" s="74" t="s">
        <v>6</v>
      </c>
      <c r="C27" s="617" t="s">
        <v>18</v>
      </c>
      <c r="D27" s="617"/>
      <c r="E27" s="617"/>
      <c r="F27" s="617"/>
      <c r="G27" s="617"/>
      <c r="H27" s="617"/>
      <c r="I27" s="617"/>
      <c r="J27" s="617"/>
      <c r="K27" s="27">
        <v>1.4999999999999999E-2</v>
      </c>
      <c r="L27" s="28" t="e">
        <f>ROUND($K$27*L17,2)</f>
        <v>#REF!</v>
      </c>
    </row>
    <row r="28" spans="2:13">
      <c r="B28" s="74" t="s">
        <v>10</v>
      </c>
      <c r="C28" s="617" t="s">
        <v>19</v>
      </c>
      <c r="D28" s="617"/>
      <c r="E28" s="617"/>
      <c r="F28" s="617"/>
      <c r="G28" s="617"/>
      <c r="H28" s="617"/>
      <c r="I28" s="617"/>
      <c r="J28" s="617"/>
      <c r="K28" s="27">
        <v>0.01</v>
      </c>
      <c r="L28" s="28" t="e">
        <f>ROUND(K28*$L$17,2)</f>
        <v>#REF!</v>
      </c>
    </row>
    <row r="29" spans="2:13">
      <c r="B29" s="74" t="s">
        <v>12</v>
      </c>
      <c r="C29" s="617" t="s">
        <v>20</v>
      </c>
      <c r="D29" s="617"/>
      <c r="E29" s="617"/>
      <c r="F29" s="617"/>
      <c r="G29" s="617"/>
      <c r="H29" s="617"/>
      <c r="I29" s="617"/>
      <c r="J29" s="617"/>
      <c r="K29" s="27">
        <v>2E-3</v>
      </c>
      <c r="L29" s="28" t="e">
        <f>ROUND(K29*$L$17,2)</f>
        <v>#REF!</v>
      </c>
    </row>
    <row r="30" spans="2:13">
      <c r="B30" s="74" t="s">
        <v>14</v>
      </c>
      <c r="C30" s="617" t="s">
        <v>21</v>
      </c>
      <c r="D30" s="617"/>
      <c r="E30" s="617"/>
      <c r="F30" s="617"/>
      <c r="G30" s="617"/>
      <c r="H30" s="617"/>
      <c r="I30" s="617"/>
      <c r="J30" s="617"/>
      <c r="K30" s="27">
        <v>2.5000000000000001E-2</v>
      </c>
      <c r="L30" s="28" t="e">
        <f>ROUND(K30*$L$17,2)</f>
        <v>#REF!</v>
      </c>
      <c r="M30" s="29"/>
    </row>
    <row r="31" spans="2:13">
      <c r="B31" s="74" t="s">
        <v>1</v>
      </c>
      <c r="C31" s="603" t="s">
        <v>153</v>
      </c>
      <c r="D31" s="605"/>
      <c r="E31" s="638">
        <v>0.08</v>
      </c>
      <c r="F31" s="639"/>
      <c r="G31" s="603" t="s">
        <v>152</v>
      </c>
      <c r="H31" s="604"/>
      <c r="I31" s="604"/>
      <c r="J31" s="605"/>
      <c r="K31" s="27">
        <f>E31*(1+(1/12)+(1/12/3))</f>
        <v>8.8888888888888878E-2</v>
      </c>
      <c r="L31" s="28" t="e">
        <f>ROUND(K31*($L$17+(1/3/12*L17)+(1/12*L17)),2)</f>
        <v>#REF!</v>
      </c>
      <c r="M31" s="1" t="s">
        <v>168</v>
      </c>
    </row>
    <row r="32" spans="2:13">
      <c r="B32" s="74" t="s">
        <v>15</v>
      </c>
      <c r="C32" s="617" t="s">
        <v>22</v>
      </c>
      <c r="D32" s="617"/>
      <c r="E32" s="617"/>
      <c r="F32" s="617"/>
      <c r="G32" s="73" t="s">
        <v>23</v>
      </c>
      <c r="H32" s="30">
        <v>0.03</v>
      </c>
      <c r="I32" s="73" t="s">
        <v>24</v>
      </c>
      <c r="J32" s="63">
        <v>1</v>
      </c>
      <c r="K32" s="31">
        <f>H32*J32</f>
        <v>0.03</v>
      </c>
      <c r="L32" s="28" t="e">
        <f>ROUND(K32*$L$17,2)</f>
        <v>#REF!</v>
      </c>
    </row>
    <row r="33" spans="2:20">
      <c r="B33" s="74" t="s">
        <v>16</v>
      </c>
      <c r="C33" s="617" t="s">
        <v>25</v>
      </c>
      <c r="D33" s="617"/>
      <c r="E33" s="617"/>
      <c r="F33" s="617"/>
      <c r="G33" s="617"/>
      <c r="H33" s="617"/>
      <c r="I33" s="617"/>
      <c r="J33" s="617"/>
      <c r="K33" s="27">
        <v>6.0000000000000001E-3</v>
      </c>
      <c r="L33" s="28" t="e">
        <f>ROUND(K33*$L$17,2)</f>
        <v>#REF!</v>
      </c>
      <c r="M33" s="2"/>
      <c r="N33" s="2"/>
      <c r="O33" s="2"/>
      <c r="P33" s="2"/>
      <c r="Q33" s="2"/>
      <c r="R33" s="2"/>
      <c r="S33" s="2"/>
      <c r="T33" s="2"/>
    </row>
    <row r="34" spans="2:20">
      <c r="B34" s="614" t="s">
        <v>169</v>
      </c>
      <c r="C34" s="615"/>
      <c r="D34" s="615"/>
      <c r="E34" s="615"/>
      <c r="F34" s="615"/>
      <c r="G34" s="615"/>
      <c r="H34" s="615"/>
      <c r="I34" s="615"/>
      <c r="J34" s="616"/>
      <c r="K34" s="34">
        <f>SUM(K26:K33)</f>
        <v>0.37688888888888894</v>
      </c>
      <c r="L34" s="12" t="e">
        <f>SUM(L26:L33)</f>
        <v>#REF!</v>
      </c>
      <c r="M34" s="2"/>
      <c r="N34" s="2"/>
      <c r="O34" s="2"/>
      <c r="P34" s="2"/>
      <c r="Q34" s="2"/>
      <c r="R34" s="2"/>
      <c r="S34" s="2"/>
      <c r="T34" s="2"/>
    </row>
    <row r="35" spans="2:20">
      <c r="B35" s="93"/>
      <c r="C35" s="94"/>
      <c r="D35" s="94"/>
      <c r="E35" s="94"/>
      <c r="F35" s="94"/>
      <c r="G35" s="94"/>
      <c r="H35" s="94"/>
      <c r="I35" s="94"/>
      <c r="J35" s="95"/>
      <c r="K35" s="34"/>
      <c r="L35" s="12"/>
      <c r="M35" s="2"/>
      <c r="N35" s="2"/>
      <c r="O35" s="2"/>
      <c r="P35" s="2"/>
      <c r="Q35" s="2"/>
      <c r="R35" s="2"/>
      <c r="S35" s="2"/>
      <c r="T35" s="2"/>
    </row>
    <row r="36" spans="2:20">
      <c r="B36" s="612" t="s">
        <v>170</v>
      </c>
      <c r="C36" s="613"/>
      <c r="D36" s="613"/>
      <c r="E36" s="613"/>
      <c r="F36" s="613"/>
      <c r="G36" s="613"/>
      <c r="H36" s="613"/>
      <c r="I36" s="613"/>
      <c r="J36" s="613"/>
      <c r="K36" s="92"/>
      <c r="L36" s="12" t="s">
        <v>166</v>
      </c>
    </row>
    <row r="37" spans="2:20">
      <c r="B37" s="69" t="s">
        <v>4</v>
      </c>
      <c r="C37" s="603" t="e">
        <f>#REF!</f>
        <v>#REF!</v>
      </c>
      <c r="D37" s="604"/>
      <c r="E37" s="604"/>
      <c r="F37" s="604"/>
      <c r="G37" s="604"/>
      <c r="H37" s="604"/>
      <c r="I37" s="604"/>
      <c r="J37" s="605"/>
      <c r="K37" s="80"/>
      <c r="L37" s="12" t="e">
        <f>#REF!</f>
        <v>#REF!</v>
      </c>
    </row>
    <row r="38" spans="2:20">
      <c r="B38" s="69" t="s">
        <v>6</v>
      </c>
      <c r="C38" s="603" t="e">
        <f>#REF!</f>
        <v>#REF!</v>
      </c>
      <c r="D38" s="604"/>
      <c r="E38" s="604"/>
      <c r="F38" s="604"/>
      <c r="G38" s="604"/>
      <c r="H38" s="604"/>
      <c r="I38" s="604"/>
      <c r="J38" s="605"/>
      <c r="K38" s="80"/>
      <c r="L38" s="12" t="e">
        <f>#REF!</f>
        <v>#REF!</v>
      </c>
    </row>
    <row r="39" spans="2:20">
      <c r="B39" s="69" t="s">
        <v>10</v>
      </c>
      <c r="C39" s="603" t="e">
        <f>#REF!</f>
        <v>#REF!</v>
      </c>
      <c r="D39" s="604"/>
      <c r="E39" s="604"/>
      <c r="F39" s="604"/>
      <c r="G39" s="604"/>
      <c r="H39" s="604"/>
      <c r="I39" s="604"/>
      <c r="J39" s="605"/>
      <c r="K39" s="80"/>
      <c r="L39" s="12" t="e">
        <f>#REF!</f>
        <v>#REF!</v>
      </c>
    </row>
    <row r="40" spans="2:20">
      <c r="B40" s="79" t="s">
        <v>12</v>
      </c>
      <c r="C40" s="603" t="e">
        <f>#REF!</f>
        <v>#REF!</v>
      </c>
      <c r="D40" s="604"/>
      <c r="E40" s="604"/>
      <c r="F40" s="604"/>
      <c r="G40" s="604"/>
      <c r="H40" s="604"/>
      <c r="I40" s="604"/>
      <c r="J40" s="605"/>
      <c r="K40" s="80"/>
      <c r="L40" s="12" t="e">
        <f>#REF!</f>
        <v>#REF!</v>
      </c>
    </row>
    <row r="41" spans="2:20">
      <c r="B41" s="79" t="s">
        <v>14</v>
      </c>
      <c r="C41" s="603" t="e">
        <f>#REF!</f>
        <v>#REF!</v>
      </c>
      <c r="D41" s="604"/>
      <c r="E41" s="604"/>
      <c r="F41" s="604"/>
      <c r="G41" s="604"/>
      <c r="H41" s="604"/>
      <c r="I41" s="604"/>
      <c r="J41" s="605"/>
      <c r="K41" s="81"/>
      <c r="L41" s="12" t="e">
        <f>#REF!</f>
        <v>#REF!</v>
      </c>
    </row>
    <row r="42" spans="2:20">
      <c r="B42" s="79" t="s">
        <v>1</v>
      </c>
      <c r="C42" s="603" t="e">
        <f>#REF!</f>
        <v>#REF!</v>
      </c>
      <c r="D42" s="604"/>
      <c r="E42" s="604"/>
      <c r="F42" s="604"/>
      <c r="G42" s="604"/>
      <c r="H42" s="604"/>
      <c r="I42" s="604"/>
      <c r="J42" s="605"/>
      <c r="K42" s="82"/>
      <c r="L42" s="12" t="e">
        <f>#REF!</f>
        <v>#REF!</v>
      </c>
    </row>
    <row r="43" spans="2:20">
      <c r="B43" s="79" t="s">
        <v>15</v>
      </c>
      <c r="C43" s="603" t="e">
        <f>#REF!</f>
        <v>#REF!</v>
      </c>
      <c r="D43" s="604"/>
      <c r="E43" s="604"/>
      <c r="F43" s="604"/>
      <c r="G43" s="604"/>
      <c r="H43" s="604"/>
      <c r="I43" s="604"/>
      <c r="J43" s="605"/>
      <c r="K43" s="82"/>
      <c r="L43" s="12" t="e">
        <f>#REF!</f>
        <v>#REF!</v>
      </c>
    </row>
    <row r="44" spans="2:20">
      <c r="B44" s="79" t="s">
        <v>16</v>
      </c>
      <c r="C44" s="620" t="s">
        <v>0</v>
      </c>
      <c r="D44" s="620"/>
      <c r="E44" s="620"/>
      <c r="F44" s="620"/>
      <c r="G44" s="620"/>
      <c r="H44" s="620"/>
      <c r="I44" s="620"/>
      <c r="J44" s="620"/>
      <c r="K44" s="620"/>
      <c r="L44" s="19">
        <v>0</v>
      </c>
    </row>
    <row r="45" spans="2:20">
      <c r="B45" s="614" t="s">
        <v>172</v>
      </c>
      <c r="C45" s="615"/>
      <c r="D45" s="615"/>
      <c r="E45" s="615"/>
      <c r="F45" s="615"/>
      <c r="G45" s="615"/>
      <c r="H45" s="615"/>
      <c r="I45" s="615"/>
      <c r="J45" s="616"/>
      <c r="K45" s="34"/>
      <c r="L45" s="12" t="e">
        <f>SUM(L37:L44)</f>
        <v>#REF!</v>
      </c>
    </row>
    <row r="46" spans="2:20">
      <c r="B46" s="93"/>
      <c r="C46" s="94"/>
      <c r="D46" s="94"/>
      <c r="E46" s="94"/>
      <c r="F46" s="94"/>
      <c r="G46" s="94"/>
      <c r="H46" s="94"/>
      <c r="I46" s="94"/>
      <c r="J46" s="95"/>
      <c r="K46" s="34"/>
      <c r="L46" s="12"/>
    </row>
    <row r="47" spans="2:20">
      <c r="B47" s="602" t="s">
        <v>173</v>
      </c>
      <c r="C47" s="602"/>
      <c r="D47" s="602"/>
      <c r="E47" s="602"/>
      <c r="F47" s="602"/>
      <c r="G47" s="602"/>
      <c r="H47" s="602"/>
      <c r="I47" s="602"/>
      <c r="J47" s="602"/>
      <c r="K47" s="602"/>
      <c r="L47" s="7" t="str">
        <f>L5</f>
        <v>SERVENTE</v>
      </c>
    </row>
    <row r="48" spans="2:20">
      <c r="B48" s="90" t="s">
        <v>174</v>
      </c>
      <c r="C48" s="603" t="s">
        <v>177</v>
      </c>
      <c r="D48" s="604"/>
      <c r="E48" s="604"/>
      <c r="F48" s="604"/>
      <c r="G48" s="604"/>
      <c r="H48" s="604"/>
      <c r="I48" s="604"/>
      <c r="J48" s="605"/>
      <c r="K48" s="80"/>
      <c r="L48" s="12" t="e">
        <f>L23</f>
        <v>#REF!</v>
      </c>
    </row>
    <row r="49" spans="2:12">
      <c r="B49" s="90" t="s">
        <v>175</v>
      </c>
      <c r="C49" s="603" t="s">
        <v>178</v>
      </c>
      <c r="D49" s="604"/>
      <c r="E49" s="604"/>
      <c r="F49" s="604"/>
      <c r="G49" s="604"/>
      <c r="H49" s="604"/>
      <c r="I49" s="604"/>
      <c r="J49" s="605"/>
      <c r="K49" s="80"/>
      <c r="L49" s="12" t="e">
        <f>L34</f>
        <v>#REF!</v>
      </c>
    </row>
    <row r="50" spans="2:12">
      <c r="B50" s="90" t="s">
        <v>176</v>
      </c>
      <c r="C50" s="603" t="s">
        <v>180</v>
      </c>
      <c r="D50" s="604"/>
      <c r="E50" s="604"/>
      <c r="F50" s="604"/>
      <c r="G50" s="604"/>
      <c r="H50" s="604"/>
      <c r="I50" s="604"/>
      <c r="J50" s="605"/>
      <c r="K50" s="80"/>
      <c r="L50" s="12" t="e">
        <f>L45</f>
        <v>#REF!</v>
      </c>
    </row>
    <row r="51" spans="2:12">
      <c r="B51" s="606" t="s">
        <v>179</v>
      </c>
      <c r="C51" s="607"/>
      <c r="D51" s="607"/>
      <c r="E51" s="607"/>
      <c r="F51" s="607"/>
      <c r="G51" s="607"/>
      <c r="H51" s="607"/>
      <c r="I51" s="607"/>
      <c r="J51" s="608"/>
      <c r="K51" s="101"/>
      <c r="L51" s="102" t="e">
        <f>SUM(L48:L50)</f>
        <v>#REF!</v>
      </c>
    </row>
    <row r="52" spans="2:12">
      <c r="B52" s="609"/>
      <c r="C52" s="610"/>
      <c r="D52" s="610"/>
      <c r="E52" s="610"/>
      <c r="F52" s="610"/>
      <c r="G52" s="610"/>
      <c r="H52" s="610"/>
      <c r="I52" s="610"/>
      <c r="J52" s="610"/>
      <c r="K52" s="610"/>
      <c r="L52" s="610"/>
    </row>
    <row r="53" spans="2:12">
      <c r="B53" s="611" t="s">
        <v>171</v>
      </c>
      <c r="C53" s="611"/>
      <c r="D53" s="611"/>
      <c r="E53" s="611"/>
      <c r="F53" s="611"/>
      <c r="G53" s="611"/>
      <c r="H53" s="611"/>
      <c r="I53" s="611"/>
      <c r="J53" s="611"/>
      <c r="K53" s="97" t="s">
        <v>9</v>
      </c>
      <c r="L53" s="98" t="s">
        <v>166</v>
      </c>
    </row>
    <row r="54" spans="2:12">
      <c r="B54" s="69" t="s">
        <v>4</v>
      </c>
      <c r="C54" s="617" t="s">
        <v>26</v>
      </c>
      <c r="D54" s="617"/>
      <c r="E54" s="617"/>
      <c r="F54" s="617"/>
      <c r="G54" s="617"/>
      <c r="H54" s="617"/>
      <c r="I54" s="38">
        <v>30</v>
      </c>
      <c r="J54" s="39">
        <v>0.05</v>
      </c>
      <c r="K54" s="34">
        <f>I54/30/12*J54</f>
        <v>4.1666666666666666E-3</v>
      </c>
      <c r="L54" s="12" t="e">
        <f t="shared" ref="L54:L59" si="0">ROUND(K54*$L$17,2)</f>
        <v>#REF!</v>
      </c>
    </row>
    <row r="55" spans="2:12">
      <c r="B55" s="69" t="s">
        <v>6</v>
      </c>
      <c r="C55" s="617" t="s">
        <v>27</v>
      </c>
      <c r="D55" s="617"/>
      <c r="E55" s="617"/>
      <c r="F55" s="617"/>
      <c r="G55" s="617"/>
      <c r="H55" s="617"/>
      <c r="I55" s="617"/>
      <c r="J55" s="617"/>
      <c r="K55" s="34">
        <f>K31*K54</f>
        <v>3.703703703703703E-4</v>
      </c>
      <c r="L55" s="12" t="e">
        <f t="shared" si="0"/>
        <v>#REF!</v>
      </c>
    </row>
    <row r="56" spans="2:12">
      <c r="B56" s="90" t="s">
        <v>10</v>
      </c>
      <c r="C56" s="617" t="s">
        <v>182</v>
      </c>
      <c r="D56" s="617"/>
      <c r="E56" s="617"/>
      <c r="F56" s="617"/>
      <c r="G56" s="617"/>
      <c r="H56" s="617"/>
      <c r="I56" s="617"/>
      <c r="J56" s="617"/>
      <c r="K56" s="34">
        <f>0.5*K55</f>
        <v>1.8518518518518515E-4</v>
      </c>
      <c r="L56" s="12" t="e">
        <f t="shared" si="0"/>
        <v>#REF!</v>
      </c>
    </row>
    <row r="57" spans="2:12">
      <c r="B57" s="90" t="s">
        <v>12</v>
      </c>
      <c r="C57" s="617" t="s">
        <v>184</v>
      </c>
      <c r="D57" s="617"/>
      <c r="E57" s="617"/>
      <c r="F57" s="617"/>
      <c r="G57" s="617"/>
      <c r="H57" s="617"/>
      <c r="I57" s="617"/>
      <c r="J57" s="617"/>
      <c r="K57" s="34">
        <v>4.0000000000000002E-4</v>
      </c>
      <c r="L57" s="12" t="e">
        <f t="shared" si="0"/>
        <v>#REF!</v>
      </c>
    </row>
    <row r="58" spans="2:12">
      <c r="B58" s="90" t="s">
        <v>14</v>
      </c>
      <c r="C58" s="617" t="s">
        <v>183</v>
      </c>
      <c r="D58" s="617"/>
      <c r="E58" s="617"/>
      <c r="F58" s="617"/>
      <c r="G58" s="617"/>
      <c r="H58" s="617"/>
      <c r="I58" s="617"/>
      <c r="J58" s="617"/>
      <c r="K58" s="34">
        <f>K34*K57</f>
        <v>1.5075555555555558E-4</v>
      </c>
      <c r="L58" s="12" t="e">
        <f t="shared" si="0"/>
        <v>#REF!</v>
      </c>
    </row>
    <row r="59" spans="2:12">
      <c r="B59" s="90" t="s">
        <v>1</v>
      </c>
      <c r="C59" s="617" t="s">
        <v>185</v>
      </c>
      <c r="D59" s="617"/>
      <c r="E59" s="617"/>
      <c r="F59" s="617"/>
      <c r="G59" s="617"/>
      <c r="H59" s="617"/>
      <c r="I59" s="617"/>
      <c r="J59" s="617"/>
      <c r="K59" s="96">
        <f>0.5*0.08*K57</f>
        <v>1.6000000000000003E-5</v>
      </c>
      <c r="L59" s="12" t="e">
        <f t="shared" si="0"/>
        <v>#REF!</v>
      </c>
    </row>
    <row r="60" spans="2:12" ht="15" customHeight="1">
      <c r="B60" s="606" t="s">
        <v>181</v>
      </c>
      <c r="C60" s="607"/>
      <c r="D60" s="607"/>
      <c r="E60" s="607"/>
      <c r="F60" s="607"/>
      <c r="G60" s="607"/>
      <c r="H60" s="607"/>
      <c r="I60" s="607"/>
      <c r="J60" s="608"/>
      <c r="K60" s="101"/>
      <c r="L60" s="102" t="e">
        <f>SUM(L54:L59)</f>
        <v>#REF!</v>
      </c>
    </row>
    <row r="61" spans="2:12">
      <c r="B61" s="20"/>
      <c r="C61" s="16"/>
      <c r="D61" s="16"/>
      <c r="E61" s="20"/>
      <c r="F61" s="20"/>
      <c r="G61" s="20"/>
      <c r="H61" s="20"/>
      <c r="I61" s="21"/>
      <c r="J61" s="22"/>
      <c r="K61" s="20"/>
    </row>
    <row r="62" spans="2:12">
      <c r="B62" s="611" t="s">
        <v>186</v>
      </c>
      <c r="C62" s="611"/>
      <c r="D62" s="611"/>
      <c r="E62" s="611"/>
      <c r="F62" s="611"/>
      <c r="G62" s="611"/>
      <c r="H62" s="611"/>
      <c r="I62" s="611"/>
      <c r="J62" s="611"/>
      <c r="K62" s="97"/>
      <c r="L62" s="98"/>
    </row>
    <row r="63" spans="2:12">
      <c r="B63" s="612" t="s">
        <v>191</v>
      </c>
      <c r="C63" s="613"/>
      <c r="D63" s="613"/>
      <c r="E63" s="613"/>
      <c r="F63" s="613"/>
      <c r="G63" s="613"/>
      <c r="H63" s="613"/>
      <c r="I63" s="613"/>
      <c r="J63" s="613"/>
      <c r="K63" s="92" t="s">
        <v>9</v>
      </c>
      <c r="L63" s="12" t="s">
        <v>166</v>
      </c>
    </row>
    <row r="64" spans="2:12">
      <c r="B64" s="69" t="s">
        <v>4</v>
      </c>
      <c r="C64" s="629" t="s">
        <v>187</v>
      </c>
      <c r="D64" s="629"/>
      <c r="E64" s="629"/>
      <c r="F64" s="629"/>
      <c r="G64" s="629"/>
      <c r="H64" s="629"/>
      <c r="I64" s="629"/>
      <c r="J64" s="629"/>
      <c r="K64" s="41">
        <f>1/12</f>
        <v>8.3333333333333329E-2</v>
      </c>
      <c r="L64" s="12" t="e">
        <f t="shared" ref="L64:L69" si="1">K64*$L$17</f>
        <v>#REF!</v>
      </c>
    </row>
    <row r="65" spans="2:13">
      <c r="B65" s="69" t="s">
        <v>6</v>
      </c>
      <c r="C65" s="617" t="s">
        <v>188</v>
      </c>
      <c r="D65" s="617"/>
      <c r="E65" s="617"/>
      <c r="F65" s="617"/>
      <c r="G65" s="640" t="s">
        <v>29</v>
      </c>
      <c r="H65" s="640"/>
      <c r="I65" s="640"/>
      <c r="J65" s="42">
        <v>3</v>
      </c>
      <c r="K65" s="41">
        <f>J65/30/12</f>
        <v>8.3333333333333332E-3</v>
      </c>
      <c r="L65" s="12" t="e">
        <f t="shared" si="1"/>
        <v>#REF!</v>
      </c>
      <c r="M65" s="1" t="s">
        <v>168</v>
      </c>
    </row>
    <row r="66" spans="2:13">
      <c r="B66" s="69" t="s">
        <v>10</v>
      </c>
      <c r="C66" s="617" t="s">
        <v>30</v>
      </c>
      <c r="D66" s="617"/>
      <c r="E66" s="617"/>
      <c r="F66" s="617"/>
      <c r="G66" s="640" t="s">
        <v>28</v>
      </c>
      <c r="H66" s="640"/>
      <c r="I66" s="36">
        <v>1.4999999999999999E-2</v>
      </c>
      <c r="J66" s="43">
        <v>5</v>
      </c>
      <c r="K66" s="41">
        <f>J66/30/12*I66</f>
        <v>2.0833333333333332E-4</v>
      </c>
      <c r="L66" s="12" t="e">
        <f t="shared" si="1"/>
        <v>#REF!</v>
      </c>
    </row>
    <row r="67" spans="2:13">
      <c r="B67" s="69" t="s">
        <v>12</v>
      </c>
      <c r="C67" s="640" t="s">
        <v>189</v>
      </c>
      <c r="D67" s="640"/>
      <c r="E67" s="640"/>
      <c r="F67" s="42"/>
      <c r="G67" s="640" t="s">
        <v>28</v>
      </c>
      <c r="H67" s="640"/>
      <c r="I67" s="36">
        <v>7.7999999999999996E-3</v>
      </c>
      <c r="J67" s="44">
        <v>15</v>
      </c>
      <c r="K67" s="41">
        <f>J67/30/12*I67</f>
        <v>3.2499999999999999E-4</v>
      </c>
      <c r="L67" s="12" t="e">
        <f t="shared" si="1"/>
        <v>#REF!</v>
      </c>
    </row>
    <row r="68" spans="2:13">
      <c r="B68" s="69" t="s">
        <v>14</v>
      </c>
      <c r="C68" s="640" t="s">
        <v>190</v>
      </c>
      <c r="D68" s="640"/>
      <c r="E68" s="640"/>
      <c r="F68" s="42"/>
      <c r="G68" s="641"/>
      <c r="H68" s="640"/>
      <c r="I68" s="36"/>
      <c r="J68" s="44"/>
      <c r="K68" s="41">
        <v>6.1000000000000004E-3</v>
      </c>
      <c r="L68" s="12" t="e">
        <f t="shared" si="1"/>
        <v>#REF!</v>
      </c>
      <c r="M68" s="64" t="s">
        <v>168</v>
      </c>
    </row>
    <row r="69" spans="2:13">
      <c r="B69" s="69" t="s">
        <v>1</v>
      </c>
      <c r="C69" s="620" t="s">
        <v>0</v>
      </c>
      <c r="D69" s="620"/>
      <c r="E69" s="620" t="s">
        <v>31</v>
      </c>
      <c r="F69" s="620"/>
      <c r="G69" s="620"/>
      <c r="H69" s="620"/>
      <c r="I69" s="620"/>
      <c r="J69" s="620"/>
      <c r="K69" s="45"/>
      <c r="L69" s="12" t="e">
        <f t="shared" si="1"/>
        <v>#REF!</v>
      </c>
      <c r="M69" s="64"/>
    </row>
    <row r="70" spans="2:13">
      <c r="B70" s="614" t="s">
        <v>192</v>
      </c>
      <c r="C70" s="615"/>
      <c r="D70" s="615"/>
      <c r="E70" s="615"/>
      <c r="F70" s="615"/>
      <c r="G70" s="615"/>
      <c r="H70" s="615"/>
      <c r="I70" s="615"/>
      <c r="J70" s="616"/>
      <c r="K70" s="46"/>
      <c r="L70" s="12" t="e">
        <f>SUM(L64:L69)</f>
        <v>#REF!</v>
      </c>
    </row>
    <row r="71" spans="2:13">
      <c r="B71" s="93"/>
      <c r="C71" s="94"/>
      <c r="D71" s="94"/>
      <c r="E71" s="94"/>
      <c r="F71" s="94"/>
      <c r="G71" s="94"/>
      <c r="H71" s="94"/>
      <c r="I71" s="94"/>
      <c r="J71" s="95"/>
      <c r="K71" s="34"/>
      <c r="L71" s="12"/>
    </row>
    <row r="72" spans="2:13">
      <c r="B72" s="612" t="s">
        <v>193</v>
      </c>
      <c r="C72" s="613"/>
      <c r="D72" s="613"/>
      <c r="E72" s="613"/>
      <c r="F72" s="613"/>
      <c r="G72" s="613"/>
      <c r="H72" s="613"/>
      <c r="I72" s="613"/>
      <c r="J72" s="613"/>
      <c r="K72" s="92" t="s">
        <v>9</v>
      </c>
      <c r="L72" s="12" t="s">
        <v>166</v>
      </c>
    </row>
    <row r="73" spans="2:13">
      <c r="B73" s="90" t="s">
        <v>4</v>
      </c>
      <c r="C73" s="629" t="s">
        <v>194</v>
      </c>
      <c r="D73" s="629"/>
      <c r="E73" s="629"/>
      <c r="F73" s="629"/>
      <c r="G73" s="629"/>
      <c r="H73" s="629"/>
      <c r="I73" s="629"/>
      <c r="J73" s="629"/>
      <c r="K73" s="41">
        <v>0</v>
      </c>
      <c r="L73" s="12" t="e">
        <f>K73*$L$17</f>
        <v>#REF!</v>
      </c>
    </row>
    <row r="74" spans="2:13">
      <c r="B74" s="614" t="s">
        <v>195</v>
      </c>
      <c r="C74" s="615"/>
      <c r="D74" s="615"/>
      <c r="E74" s="615"/>
      <c r="F74" s="615"/>
      <c r="G74" s="615"/>
      <c r="H74" s="615"/>
      <c r="I74" s="615"/>
      <c r="J74" s="616"/>
      <c r="K74" s="46"/>
      <c r="L74" s="12" t="e">
        <f>SUM(L73:L73)</f>
        <v>#REF!</v>
      </c>
    </row>
    <row r="75" spans="2:13">
      <c r="B75" s="93"/>
      <c r="C75" s="94"/>
      <c r="D75" s="94"/>
      <c r="E75" s="94"/>
      <c r="F75" s="94"/>
      <c r="G75" s="94"/>
      <c r="H75" s="94"/>
      <c r="I75" s="94"/>
      <c r="J75" s="94"/>
      <c r="K75" s="99"/>
      <c r="L75" s="12"/>
    </row>
    <row r="76" spans="2:13">
      <c r="B76" s="602" t="s">
        <v>196</v>
      </c>
      <c r="C76" s="602"/>
      <c r="D76" s="602"/>
      <c r="E76" s="602"/>
      <c r="F76" s="602"/>
      <c r="G76" s="602"/>
      <c r="H76" s="602"/>
      <c r="I76" s="602"/>
      <c r="J76" s="602"/>
      <c r="K76" s="602"/>
      <c r="L76" s="7" t="e">
        <f>L34</f>
        <v>#REF!</v>
      </c>
    </row>
    <row r="77" spans="2:13">
      <c r="B77" s="90" t="s">
        <v>197</v>
      </c>
      <c r="C77" s="603" t="s">
        <v>188</v>
      </c>
      <c r="D77" s="604"/>
      <c r="E77" s="604"/>
      <c r="F77" s="604"/>
      <c r="G77" s="604"/>
      <c r="H77" s="604"/>
      <c r="I77" s="604"/>
      <c r="J77" s="605"/>
      <c r="K77" s="80"/>
      <c r="L77" s="12" t="e">
        <f>L70</f>
        <v>#REF!</v>
      </c>
    </row>
    <row r="78" spans="2:13">
      <c r="B78" s="90" t="s">
        <v>198</v>
      </c>
      <c r="C78" s="603" t="s">
        <v>199</v>
      </c>
      <c r="D78" s="604"/>
      <c r="E78" s="604"/>
      <c r="F78" s="604"/>
      <c r="G78" s="604"/>
      <c r="H78" s="604"/>
      <c r="I78" s="604"/>
      <c r="J78" s="605"/>
      <c r="K78" s="80"/>
      <c r="L78" s="12" t="e">
        <f>L74</f>
        <v>#REF!</v>
      </c>
    </row>
    <row r="79" spans="2:13">
      <c r="B79" s="606" t="s">
        <v>200</v>
      </c>
      <c r="C79" s="607"/>
      <c r="D79" s="607"/>
      <c r="E79" s="607"/>
      <c r="F79" s="607"/>
      <c r="G79" s="607"/>
      <c r="H79" s="607"/>
      <c r="I79" s="607"/>
      <c r="J79" s="608"/>
      <c r="K79" s="101"/>
      <c r="L79" s="102" t="e">
        <f>SUM(L77:L78)</f>
        <v>#REF!</v>
      </c>
    </row>
    <row r="80" spans="2:13">
      <c r="B80" s="609"/>
      <c r="C80" s="610"/>
      <c r="D80" s="610"/>
      <c r="E80" s="610"/>
      <c r="F80" s="610"/>
      <c r="G80" s="610"/>
      <c r="H80" s="610"/>
      <c r="I80" s="610"/>
      <c r="J80" s="610"/>
      <c r="K80" s="610"/>
      <c r="L80" s="610"/>
    </row>
    <row r="81" spans="2:13">
      <c r="B81" s="611" t="s">
        <v>201</v>
      </c>
      <c r="C81" s="611"/>
      <c r="D81" s="611"/>
      <c r="E81" s="611"/>
      <c r="F81" s="611"/>
      <c r="G81" s="611"/>
      <c r="H81" s="611"/>
      <c r="I81" s="611"/>
      <c r="J81" s="611"/>
      <c r="K81" s="97"/>
      <c r="L81" s="98"/>
      <c r="M81" s="23"/>
    </row>
    <row r="82" spans="2:13">
      <c r="B82" s="69" t="s">
        <v>4</v>
      </c>
      <c r="C82" s="630" t="s">
        <v>54</v>
      </c>
      <c r="D82" s="630"/>
      <c r="E82" s="630"/>
      <c r="F82" s="630"/>
      <c r="G82" s="630"/>
      <c r="H82" s="630"/>
      <c r="I82" s="630"/>
      <c r="J82" s="630"/>
      <c r="K82" s="630"/>
      <c r="L82" s="12" t="e">
        <f>#REF!</f>
        <v>#REF!</v>
      </c>
    </row>
    <row r="83" spans="2:13">
      <c r="B83" s="69" t="s">
        <v>6</v>
      </c>
      <c r="C83" s="631" t="s">
        <v>203</v>
      </c>
      <c r="D83" s="632"/>
      <c r="E83" s="633" t="s">
        <v>55</v>
      </c>
      <c r="F83" s="634"/>
      <c r="G83" s="634"/>
      <c r="H83" s="634"/>
      <c r="I83" s="635"/>
      <c r="J83" s="636">
        <v>0.12</v>
      </c>
      <c r="K83" s="637"/>
      <c r="L83" s="19" t="e">
        <f>(L17+L51+L60+L79+L82)/(1-J83)*J83</f>
        <v>#REF!</v>
      </c>
      <c r="M83" s="24"/>
    </row>
    <row r="84" spans="2:13">
      <c r="B84" s="91" t="s">
        <v>210</v>
      </c>
      <c r="C84" s="631" t="s">
        <v>211</v>
      </c>
      <c r="D84" s="632"/>
      <c r="E84" s="633"/>
      <c r="F84" s="634"/>
      <c r="G84" s="634"/>
      <c r="H84" s="634"/>
      <c r="I84" s="635"/>
      <c r="J84" s="657">
        <f>H95+H96</f>
        <v>9.2499999999999999E-2</v>
      </c>
      <c r="K84" s="658"/>
      <c r="L84" s="19" t="e">
        <f>-J84*L83</f>
        <v>#REF!</v>
      </c>
      <c r="M84" s="24"/>
    </row>
    <row r="85" spans="2:13">
      <c r="B85" s="90" t="s">
        <v>10</v>
      </c>
      <c r="C85" s="83" t="s">
        <v>202</v>
      </c>
      <c r="D85" s="84"/>
      <c r="E85" s="85"/>
      <c r="F85" s="86"/>
      <c r="G85" s="86"/>
      <c r="H85" s="86"/>
      <c r="I85" s="87"/>
      <c r="J85" s="88"/>
      <c r="K85" s="89"/>
      <c r="L85" s="19"/>
      <c r="M85" s="24"/>
    </row>
    <row r="86" spans="2:13">
      <c r="B86" s="69" t="s">
        <v>204</v>
      </c>
      <c r="C86" s="620" t="s">
        <v>0</v>
      </c>
      <c r="D86" s="620"/>
      <c r="E86" s="620"/>
      <c r="F86" s="620"/>
      <c r="G86" s="620"/>
      <c r="H86" s="620"/>
      <c r="I86" s="620"/>
      <c r="J86" s="620"/>
      <c r="K86" s="620"/>
      <c r="L86" s="19">
        <v>0</v>
      </c>
    </row>
    <row r="87" spans="2:13">
      <c r="B87" s="606" t="s">
        <v>207</v>
      </c>
      <c r="C87" s="607"/>
      <c r="D87" s="607"/>
      <c r="E87" s="607"/>
      <c r="F87" s="607"/>
      <c r="G87" s="607"/>
      <c r="H87" s="607"/>
      <c r="I87" s="607"/>
      <c r="J87" s="608"/>
      <c r="K87" s="101"/>
      <c r="L87" s="102" t="e">
        <f>SUM(L82:L86)</f>
        <v>#REF!</v>
      </c>
    </row>
    <row r="88" spans="2:13">
      <c r="B88" s="25"/>
      <c r="C88" s="25"/>
      <c r="D88" s="25"/>
      <c r="E88" s="25"/>
      <c r="F88" s="25"/>
      <c r="G88" s="25"/>
      <c r="H88" s="25"/>
      <c r="I88" s="71"/>
      <c r="J88" s="25"/>
      <c r="K88" s="25"/>
    </row>
    <row r="89" spans="2:13">
      <c r="B89" s="16"/>
      <c r="C89" s="16"/>
      <c r="D89" s="16"/>
      <c r="E89" s="16"/>
      <c r="F89" s="16"/>
      <c r="G89" s="16"/>
      <c r="H89" s="48"/>
      <c r="I89" s="48"/>
      <c r="J89" s="48"/>
      <c r="K89" s="48"/>
      <c r="L89" s="49"/>
    </row>
    <row r="90" spans="2:13">
      <c r="B90" s="611" t="s">
        <v>205</v>
      </c>
      <c r="C90" s="611"/>
      <c r="D90" s="611"/>
      <c r="E90" s="611"/>
      <c r="F90" s="611"/>
      <c r="G90" s="611"/>
      <c r="H90" s="611"/>
      <c r="I90" s="611"/>
      <c r="J90" s="611"/>
      <c r="K90" s="97"/>
      <c r="L90" s="98" t="str">
        <f>L5</f>
        <v>SERVENTE</v>
      </c>
    </row>
    <row r="91" spans="2:13">
      <c r="B91" s="69" t="s">
        <v>4</v>
      </c>
      <c r="C91" s="629" t="s">
        <v>206</v>
      </c>
      <c r="D91" s="629"/>
      <c r="E91" s="629"/>
      <c r="F91" s="629"/>
      <c r="G91" s="629"/>
      <c r="H91" s="629"/>
      <c r="I91" s="629"/>
      <c r="J91" s="629"/>
      <c r="K91" s="65">
        <v>0.05</v>
      </c>
      <c r="L91" s="28" t="e">
        <f>K91*L110</f>
        <v>#REF!</v>
      </c>
      <c r="M91" s="50"/>
    </row>
    <row r="92" spans="2:13">
      <c r="B92" s="69" t="s">
        <v>6</v>
      </c>
      <c r="C92" s="629" t="s">
        <v>32</v>
      </c>
      <c r="D92" s="629"/>
      <c r="E92" s="629"/>
      <c r="F92" s="629"/>
      <c r="G92" s="629"/>
      <c r="H92" s="629"/>
      <c r="I92" s="629"/>
      <c r="J92" s="629"/>
      <c r="K92" s="65">
        <v>6.8099999999999994E-2</v>
      </c>
      <c r="L92" s="28" t="e">
        <f>K92*L110</f>
        <v>#REF!</v>
      </c>
      <c r="M92" s="50"/>
    </row>
    <row r="93" spans="2:13">
      <c r="B93" s="645" t="s">
        <v>10</v>
      </c>
      <c r="C93" s="646" t="s">
        <v>33</v>
      </c>
      <c r="D93" s="647"/>
      <c r="E93" s="647"/>
      <c r="F93" s="647"/>
      <c r="G93" s="647"/>
      <c r="H93" s="647"/>
      <c r="I93" s="648"/>
      <c r="J93" s="649" t="e">
        <f>L110+L91+L92</f>
        <v>#REF!</v>
      </c>
      <c r="K93" s="650"/>
      <c r="L93" s="47"/>
    </row>
    <row r="94" spans="2:13">
      <c r="B94" s="645"/>
      <c r="C94" s="651" t="s">
        <v>34</v>
      </c>
      <c r="D94" s="652"/>
      <c r="E94" s="652"/>
      <c r="F94" s="653"/>
      <c r="G94" s="70"/>
      <c r="H94" s="70" t="s">
        <v>35</v>
      </c>
      <c r="I94" s="70"/>
      <c r="J94" s="654"/>
      <c r="K94" s="655"/>
      <c r="L94" s="47"/>
    </row>
    <row r="95" spans="2:13">
      <c r="B95" s="645"/>
      <c r="C95" s="642" t="s">
        <v>36</v>
      </c>
      <c r="D95" s="642"/>
      <c r="E95" s="642"/>
      <c r="F95" s="642"/>
      <c r="G95" s="68" t="s">
        <v>37</v>
      </c>
      <c r="H95" s="35">
        <v>1.6500000000000001E-2</v>
      </c>
      <c r="I95" s="656">
        <f>SUM(H95:H100)</f>
        <v>0.13250000000000001</v>
      </c>
      <c r="J95" s="643" t="e">
        <f t="shared" ref="J95:J100" si="2">ROUND($L$112*H95,2)</f>
        <v>#REF!</v>
      </c>
      <c r="K95" s="644"/>
      <c r="L95" s="671" t="e">
        <f>SUM(J95:K100)</f>
        <v>#REF!</v>
      </c>
    </row>
    <row r="96" spans="2:13">
      <c r="B96" s="645"/>
      <c r="C96" s="642"/>
      <c r="D96" s="642"/>
      <c r="E96" s="642"/>
      <c r="F96" s="642"/>
      <c r="G96" s="68" t="s">
        <v>38</v>
      </c>
      <c r="H96" s="35">
        <v>7.5999999999999998E-2</v>
      </c>
      <c r="I96" s="656"/>
      <c r="J96" s="643" t="e">
        <f t="shared" si="2"/>
        <v>#REF!</v>
      </c>
      <c r="K96" s="644"/>
      <c r="L96" s="672"/>
    </row>
    <row r="97" spans="2:12">
      <c r="B97" s="645"/>
      <c r="C97" s="642"/>
      <c r="D97" s="642"/>
      <c r="E97" s="642"/>
      <c r="F97" s="642"/>
      <c r="G97" s="68" t="s">
        <v>39</v>
      </c>
      <c r="H97" s="35">
        <v>0</v>
      </c>
      <c r="I97" s="656"/>
      <c r="J97" s="643" t="e">
        <f t="shared" si="2"/>
        <v>#REF!</v>
      </c>
      <c r="K97" s="644"/>
      <c r="L97" s="672"/>
    </row>
    <row r="98" spans="2:12">
      <c r="B98" s="645"/>
      <c r="C98" s="642" t="s">
        <v>40</v>
      </c>
      <c r="D98" s="642"/>
      <c r="E98" s="642"/>
      <c r="F98" s="642"/>
      <c r="G98" s="67" t="s">
        <v>41</v>
      </c>
      <c r="H98" s="35">
        <v>0.04</v>
      </c>
      <c r="I98" s="656"/>
      <c r="J98" s="643" t="e">
        <f t="shared" si="2"/>
        <v>#REF!</v>
      </c>
      <c r="K98" s="644"/>
      <c r="L98" s="672"/>
    </row>
    <row r="99" spans="2:12">
      <c r="B99" s="645"/>
      <c r="C99" s="642"/>
      <c r="D99" s="642"/>
      <c r="E99" s="642"/>
      <c r="F99" s="642"/>
      <c r="G99" s="67" t="s">
        <v>39</v>
      </c>
      <c r="H99" s="35">
        <v>0</v>
      </c>
      <c r="I99" s="656"/>
      <c r="J99" s="643" t="e">
        <f t="shared" si="2"/>
        <v>#REF!</v>
      </c>
      <c r="K99" s="644"/>
      <c r="L99" s="672"/>
    </row>
    <row r="100" spans="2:12">
      <c r="B100" s="645"/>
      <c r="C100" s="642" t="s">
        <v>42</v>
      </c>
      <c r="D100" s="642"/>
      <c r="E100" s="642"/>
      <c r="F100" s="642"/>
      <c r="G100" s="67"/>
      <c r="H100" s="35">
        <v>0</v>
      </c>
      <c r="I100" s="656"/>
      <c r="J100" s="643" t="e">
        <f t="shared" si="2"/>
        <v>#REF!</v>
      </c>
      <c r="K100" s="644"/>
      <c r="L100" s="673"/>
    </row>
    <row r="101" spans="2:12">
      <c r="B101" s="645" t="s">
        <v>43</v>
      </c>
      <c r="C101" s="645"/>
      <c r="D101" s="645"/>
      <c r="E101" s="645"/>
      <c r="F101" s="645"/>
      <c r="G101" s="645"/>
      <c r="H101" s="645"/>
      <c r="I101" s="645"/>
      <c r="J101" s="645"/>
      <c r="K101" s="645"/>
      <c r="L101" s="60" t="e">
        <f>L95+L92+L91</f>
        <v>#REF!</v>
      </c>
    </row>
    <row r="102" spans="2:12">
      <c r="B102" s="51"/>
      <c r="C102" s="51"/>
      <c r="D102" s="51"/>
      <c r="E102" s="51"/>
      <c r="F102" s="51"/>
      <c r="G102" s="51"/>
      <c r="H102" s="51"/>
      <c r="I102" s="52"/>
      <c r="J102" s="53"/>
      <c r="K102" s="51"/>
    </row>
    <row r="103" spans="2:12">
      <c r="B103" s="670" t="s">
        <v>44</v>
      </c>
      <c r="C103" s="670"/>
      <c r="D103" s="670"/>
      <c r="E103" s="670"/>
      <c r="F103" s="670"/>
      <c r="G103" s="670"/>
      <c r="H103" s="670"/>
      <c r="I103" s="670"/>
      <c r="J103" s="670"/>
      <c r="K103" s="670"/>
      <c r="L103" s="670"/>
    </row>
    <row r="104" spans="2:12">
      <c r="B104" s="665" t="s">
        <v>45</v>
      </c>
      <c r="C104" s="665"/>
      <c r="D104" s="665"/>
      <c r="E104" s="665"/>
      <c r="F104" s="665"/>
      <c r="G104" s="665"/>
      <c r="H104" s="665"/>
      <c r="I104" s="665"/>
      <c r="J104" s="665"/>
      <c r="K104" s="665"/>
      <c r="L104" s="7" t="str">
        <f>L5</f>
        <v>SERVENTE</v>
      </c>
    </row>
    <row r="105" spans="2:12">
      <c r="B105" s="69" t="s">
        <v>4</v>
      </c>
      <c r="C105" s="629" t="str">
        <f>B6</f>
        <v xml:space="preserve">MÓDULO 01 – Composição da Remuneração </v>
      </c>
      <c r="D105" s="629"/>
      <c r="E105" s="629"/>
      <c r="F105" s="629"/>
      <c r="G105" s="629"/>
      <c r="H105" s="629"/>
      <c r="I105" s="629"/>
      <c r="J105" s="629"/>
      <c r="K105" s="629"/>
      <c r="L105" s="54" t="e">
        <f>L17</f>
        <v>#REF!</v>
      </c>
    </row>
    <row r="106" spans="2:12">
      <c r="B106" s="69" t="s">
        <v>6</v>
      </c>
      <c r="C106" s="629" t="str">
        <f>B19</f>
        <v>MÓDULO 2 – ENCARGOS E BENEFÍCIOS ANUAIS, MENSAIS E DIÁRIOS</v>
      </c>
      <c r="D106" s="629"/>
      <c r="E106" s="629"/>
      <c r="F106" s="629"/>
      <c r="G106" s="629"/>
      <c r="H106" s="629"/>
      <c r="I106" s="629"/>
      <c r="J106" s="629"/>
      <c r="K106" s="629"/>
      <c r="L106" s="54" t="e">
        <f>L51</f>
        <v>#REF!</v>
      </c>
    </row>
    <row r="107" spans="2:12">
      <c r="B107" s="69" t="s">
        <v>10</v>
      </c>
      <c r="C107" s="629" t="str">
        <f>B53</f>
        <v>MÓDULO 3 – PROVISÃO PARA RESCISÃO</v>
      </c>
      <c r="D107" s="629"/>
      <c r="E107" s="629"/>
      <c r="F107" s="629"/>
      <c r="G107" s="629"/>
      <c r="H107" s="629"/>
      <c r="I107" s="629"/>
      <c r="J107" s="629"/>
      <c r="K107" s="629"/>
      <c r="L107" s="54" t="e">
        <f>L60</f>
        <v>#REF!</v>
      </c>
    </row>
    <row r="108" spans="2:12">
      <c r="B108" s="69" t="s">
        <v>12</v>
      </c>
      <c r="C108" s="629" t="str">
        <f>B62</f>
        <v>MÓDULO 4 – CUSTO DE REPOSIÇÃO DO PROFISSIONAL AUSENTE</v>
      </c>
      <c r="D108" s="629"/>
      <c r="E108" s="629"/>
      <c r="F108" s="629"/>
      <c r="G108" s="629"/>
      <c r="H108" s="629"/>
      <c r="I108" s="629"/>
      <c r="J108" s="629"/>
      <c r="K108" s="629"/>
      <c r="L108" s="54" t="e">
        <f>L79</f>
        <v>#REF!</v>
      </c>
    </row>
    <row r="109" spans="2:12">
      <c r="B109" s="90" t="s">
        <v>14</v>
      </c>
      <c r="C109" s="629" t="str">
        <f>B81</f>
        <v>MÓDULO 5 – INSUMOS DIVERSOS</v>
      </c>
      <c r="D109" s="629"/>
      <c r="E109" s="629"/>
      <c r="F109" s="629"/>
      <c r="G109" s="629"/>
      <c r="H109" s="629"/>
      <c r="I109" s="629"/>
      <c r="J109" s="629"/>
      <c r="K109" s="629"/>
      <c r="L109" s="54" t="e">
        <f>L87</f>
        <v>#REF!</v>
      </c>
    </row>
    <row r="110" spans="2:12">
      <c r="B110" s="665" t="s">
        <v>209</v>
      </c>
      <c r="C110" s="665"/>
      <c r="D110" s="665"/>
      <c r="E110" s="665"/>
      <c r="F110" s="665"/>
      <c r="G110" s="665"/>
      <c r="H110" s="665"/>
      <c r="I110" s="665"/>
      <c r="J110" s="665"/>
      <c r="K110" s="665"/>
      <c r="L110" s="61" t="e">
        <f>SUM(L105:L109)</f>
        <v>#REF!</v>
      </c>
    </row>
    <row r="111" spans="2:12">
      <c r="B111" s="69" t="s">
        <v>14</v>
      </c>
      <c r="C111" s="629" t="s">
        <v>46</v>
      </c>
      <c r="D111" s="629"/>
      <c r="E111" s="629"/>
      <c r="F111" s="629"/>
      <c r="G111" s="629"/>
      <c r="H111" s="629"/>
      <c r="I111" s="629"/>
      <c r="J111" s="629"/>
      <c r="K111" s="629"/>
      <c r="L111" s="55" t="e">
        <f>L112-L110</f>
        <v>#REF!</v>
      </c>
    </row>
    <row r="112" spans="2:12">
      <c r="B112" s="666" t="s">
        <v>47</v>
      </c>
      <c r="C112" s="666"/>
      <c r="D112" s="666"/>
      <c r="E112" s="666"/>
      <c r="F112" s="666"/>
      <c r="G112" s="666"/>
      <c r="H112" s="666"/>
      <c r="I112" s="666"/>
      <c r="J112" s="666"/>
      <c r="K112" s="666"/>
      <c r="L112" s="62" t="e">
        <f>ROUND(J93/(1-$I$95),2)</f>
        <v>#REF!</v>
      </c>
    </row>
    <row r="113" spans="6:12">
      <c r="K113" s="50"/>
    </row>
    <row r="115" spans="6:12">
      <c r="F115" s="667" t="s">
        <v>48</v>
      </c>
      <c r="G115" s="668"/>
      <c r="H115" s="668"/>
      <c r="I115" s="669"/>
      <c r="J115" s="1"/>
      <c r="L115" s="1"/>
    </row>
    <row r="116" spans="6:12">
      <c r="F116" s="667" t="s">
        <v>49</v>
      </c>
      <c r="G116" s="668"/>
      <c r="H116" s="669"/>
      <c r="I116" s="56" t="s">
        <v>9</v>
      </c>
      <c r="J116" s="1"/>
      <c r="L116" s="1"/>
    </row>
    <row r="117" spans="6:12">
      <c r="F117" s="57" t="s">
        <v>50</v>
      </c>
      <c r="G117" s="57"/>
      <c r="H117" s="58"/>
      <c r="I117" s="58">
        <f>K91</f>
        <v>0.05</v>
      </c>
      <c r="J117" s="1"/>
      <c r="L117" s="1"/>
    </row>
    <row r="118" spans="6:12">
      <c r="F118" s="659" t="s">
        <v>32</v>
      </c>
      <c r="G118" s="660"/>
      <c r="H118" s="661"/>
      <c r="I118" s="58">
        <f>K92</f>
        <v>6.8099999999999994E-2</v>
      </c>
      <c r="J118" s="1"/>
      <c r="L118" s="1"/>
    </row>
    <row r="119" spans="6:12">
      <c r="F119" s="57" t="s">
        <v>51</v>
      </c>
      <c r="G119" s="57"/>
      <c r="H119" s="58"/>
      <c r="I119" s="58">
        <f>I95</f>
        <v>0.13250000000000001</v>
      </c>
      <c r="J119" s="1"/>
      <c r="L119" s="1"/>
    </row>
    <row r="120" spans="6:12">
      <c r="F120" s="662" t="s">
        <v>52</v>
      </c>
      <c r="G120" s="663"/>
      <c r="H120" s="664"/>
      <c r="I120" s="58">
        <f>(1+I117)*(1+I118)/(1-I119)-1</f>
        <v>0.29280115273775253</v>
      </c>
      <c r="J120" s="1"/>
      <c r="L120" s="1"/>
    </row>
  </sheetData>
  <mergeCells count="126">
    <mergeCell ref="C12:I12"/>
    <mergeCell ref="C13:I13"/>
    <mergeCell ref="B25:J25"/>
    <mergeCell ref="C84:D84"/>
    <mergeCell ref="E84:I84"/>
    <mergeCell ref="J84:K84"/>
    <mergeCell ref="B2:L2"/>
    <mergeCell ref="B3:L4"/>
    <mergeCell ref="B6:L6"/>
    <mergeCell ref="C7:K7"/>
    <mergeCell ref="C9:E9"/>
    <mergeCell ref="F9:I9"/>
    <mergeCell ref="C8:K8"/>
    <mergeCell ref="C10:I10"/>
    <mergeCell ref="C11:I11"/>
    <mergeCell ref="C14:I14"/>
    <mergeCell ref="C15:K15"/>
    <mergeCell ref="C16:K16"/>
    <mergeCell ref="B17:K17"/>
    <mergeCell ref="C57:H57"/>
    <mergeCell ref="B53:J53"/>
    <mergeCell ref="C54:H54"/>
    <mergeCell ref="B52:L52"/>
    <mergeCell ref="C65:F65"/>
    <mergeCell ref="C58:H58"/>
    <mergeCell ref="I58:J58"/>
    <mergeCell ref="C59:H59"/>
    <mergeCell ref="C86:K86"/>
    <mergeCell ref="B19:K19"/>
    <mergeCell ref="B20:J20"/>
    <mergeCell ref="B23:J23"/>
    <mergeCell ref="C21:J21"/>
    <mergeCell ref="C22:J22"/>
    <mergeCell ref="B45:J45"/>
    <mergeCell ref="C26:J26"/>
    <mergeCell ref="C27:J27"/>
    <mergeCell ref="C44:K44"/>
    <mergeCell ref="C82:K82"/>
    <mergeCell ref="C83:D83"/>
    <mergeCell ref="E83:I83"/>
    <mergeCell ref="J83:K83"/>
    <mergeCell ref="B47:K47"/>
    <mergeCell ref="C48:J48"/>
    <mergeCell ref="C49:J49"/>
    <mergeCell ref="C50:J50"/>
    <mergeCell ref="B51:J51"/>
    <mergeCell ref="B60:J60"/>
    <mergeCell ref="C55:H55"/>
    <mergeCell ref="B36:J36"/>
    <mergeCell ref="C37:J37"/>
    <mergeCell ref="C38:J38"/>
    <mergeCell ref="C39:J39"/>
    <mergeCell ref="C40:J40"/>
    <mergeCell ref="C41:J41"/>
    <mergeCell ref="C42:J42"/>
    <mergeCell ref="C43:J43"/>
    <mergeCell ref="I57:J57"/>
    <mergeCell ref="I55:J55"/>
    <mergeCell ref="C56:H56"/>
    <mergeCell ref="I56:J56"/>
    <mergeCell ref="C28:J28"/>
    <mergeCell ref="C29:J29"/>
    <mergeCell ref="C30:J30"/>
    <mergeCell ref="C32:F32"/>
    <mergeCell ref="C33:J33"/>
    <mergeCell ref="C31:D31"/>
    <mergeCell ref="E31:F31"/>
    <mergeCell ref="G31:J31"/>
    <mergeCell ref="B34:J34"/>
    <mergeCell ref="B90:J90"/>
    <mergeCell ref="C100:F100"/>
    <mergeCell ref="J100:K100"/>
    <mergeCell ref="C92:J92"/>
    <mergeCell ref="B93:B100"/>
    <mergeCell ref="C93:I93"/>
    <mergeCell ref="J93:K93"/>
    <mergeCell ref="F118:H118"/>
    <mergeCell ref="F120:H120"/>
    <mergeCell ref="C108:K108"/>
    <mergeCell ref="B110:K110"/>
    <mergeCell ref="C111:K111"/>
    <mergeCell ref="B112:K112"/>
    <mergeCell ref="F115:I115"/>
    <mergeCell ref="F116:H116"/>
    <mergeCell ref="B101:K101"/>
    <mergeCell ref="B103:L103"/>
    <mergeCell ref="B104:K104"/>
    <mergeCell ref="C105:K105"/>
    <mergeCell ref="C106:K106"/>
    <mergeCell ref="C107:K107"/>
    <mergeCell ref="C109:K109"/>
    <mergeCell ref="I95:I100"/>
    <mergeCell ref="J95:K95"/>
    <mergeCell ref="C91:J91"/>
    <mergeCell ref="L95:L100"/>
    <mergeCell ref="J96:K96"/>
    <mergeCell ref="J97:K97"/>
    <mergeCell ref="C98:F99"/>
    <mergeCell ref="J98:K98"/>
    <mergeCell ref="J99:K99"/>
    <mergeCell ref="C94:F94"/>
    <mergeCell ref="J94:K94"/>
    <mergeCell ref="C95:F97"/>
    <mergeCell ref="I59:J59"/>
    <mergeCell ref="G67:H67"/>
    <mergeCell ref="C67:E67"/>
    <mergeCell ref="C68:E68"/>
    <mergeCell ref="B70:J70"/>
    <mergeCell ref="B63:J63"/>
    <mergeCell ref="B87:J87"/>
    <mergeCell ref="B62:J62"/>
    <mergeCell ref="C64:J64"/>
    <mergeCell ref="G68:H68"/>
    <mergeCell ref="C69:J69"/>
    <mergeCell ref="B72:J72"/>
    <mergeCell ref="C73:J73"/>
    <mergeCell ref="G65:I65"/>
    <mergeCell ref="C66:F66"/>
    <mergeCell ref="G66:H66"/>
    <mergeCell ref="C78:J78"/>
    <mergeCell ref="B74:J74"/>
    <mergeCell ref="B76:K76"/>
    <mergeCell ref="C77:J77"/>
    <mergeCell ref="B79:J79"/>
    <mergeCell ref="B80:L80"/>
    <mergeCell ref="B81:J81"/>
  </mergeCells>
  <pageMargins left="0.511811024" right="0.511811024" top="0.78740157499999996" bottom="0.78740157499999996" header="0.31496062000000002" footer="0.31496062000000002"/>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T120"/>
  <sheetViews>
    <sheetView topLeftCell="A64" workbookViewId="0">
      <selection activeCell="G85" sqref="G85"/>
    </sheetView>
  </sheetViews>
  <sheetFormatPr defaultColWidth="11.85546875" defaultRowHeight="15"/>
  <cols>
    <col min="1" max="1" width="6.28515625" style="1" customWidth="1"/>
    <col min="2" max="2" width="4.5703125" style="1" customWidth="1"/>
    <col min="3" max="3" width="9" style="1" customWidth="1"/>
    <col min="4" max="4" width="25" style="1" customWidth="1"/>
    <col min="5" max="5" width="4.7109375" style="1" bestFit="1" customWidth="1"/>
    <col min="6" max="6" width="9" style="1" bestFit="1" customWidth="1"/>
    <col min="7" max="7" width="10.42578125" style="1" customWidth="1"/>
    <col min="8" max="8" width="10.7109375" style="1" customWidth="1"/>
    <col min="9" max="9" width="16.7109375" style="32" customWidth="1"/>
    <col min="10" max="10" width="9" style="33" bestFit="1" customWidth="1"/>
    <col min="11" max="11" width="9.140625" style="1" bestFit="1" customWidth="1"/>
    <col min="12" max="12" width="12.7109375" style="18" bestFit="1" customWidth="1"/>
    <col min="13" max="13" width="13.28515625" style="1" bestFit="1" customWidth="1"/>
    <col min="14" max="16384" width="11.85546875" style="1"/>
  </cols>
  <sheetData>
    <row r="2" spans="2:13">
      <c r="B2" s="622" t="s">
        <v>2</v>
      </c>
      <c r="C2" s="622"/>
      <c r="D2" s="622"/>
      <c r="E2" s="622"/>
      <c r="F2" s="622"/>
      <c r="G2" s="622"/>
      <c r="H2" s="622"/>
      <c r="I2" s="622"/>
      <c r="J2" s="622"/>
      <c r="K2" s="622"/>
      <c r="L2" s="622"/>
    </row>
    <row r="3" spans="2:13" s="2" customFormat="1">
      <c r="B3" s="623" t="e">
        <f>#REF!</f>
        <v>#REF!</v>
      </c>
      <c r="C3" s="624"/>
      <c r="D3" s="624"/>
      <c r="E3" s="624"/>
      <c r="F3" s="624"/>
      <c r="G3" s="624"/>
      <c r="H3" s="624"/>
      <c r="I3" s="624"/>
      <c r="J3" s="624"/>
      <c r="K3" s="624"/>
      <c r="L3" s="625"/>
    </row>
    <row r="4" spans="2:13" s="2" customFormat="1">
      <c r="B4" s="626"/>
      <c r="C4" s="627"/>
      <c r="D4" s="627"/>
      <c r="E4" s="627"/>
      <c r="F4" s="627"/>
      <c r="G4" s="627"/>
      <c r="H4" s="627"/>
      <c r="I4" s="627"/>
      <c r="J4" s="627"/>
      <c r="K4" s="627"/>
      <c r="L4" s="628"/>
    </row>
    <row r="5" spans="2:13">
      <c r="B5" s="3"/>
      <c r="C5" s="4"/>
      <c r="D5" s="4"/>
      <c r="E5" s="4"/>
      <c r="F5" s="4"/>
      <c r="G5" s="4"/>
      <c r="H5" s="4"/>
      <c r="I5" s="5"/>
      <c r="J5" s="4"/>
      <c r="K5" s="6"/>
      <c r="L5" s="7" t="s">
        <v>53</v>
      </c>
    </row>
    <row r="6" spans="2:13">
      <c r="B6" s="611" t="s">
        <v>3</v>
      </c>
      <c r="C6" s="611"/>
      <c r="D6" s="611"/>
      <c r="E6" s="611"/>
      <c r="F6" s="611"/>
      <c r="G6" s="611"/>
      <c r="H6" s="611"/>
      <c r="I6" s="611"/>
      <c r="J6" s="611"/>
      <c r="K6" s="611"/>
      <c r="L6" s="611"/>
    </row>
    <row r="7" spans="2:13">
      <c r="B7" s="69" t="s">
        <v>4</v>
      </c>
      <c r="C7" s="629" t="s">
        <v>5</v>
      </c>
      <c r="D7" s="629"/>
      <c r="E7" s="629"/>
      <c r="F7" s="629"/>
      <c r="G7" s="629"/>
      <c r="H7" s="629"/>
      <c r="I7" s="629"/>
      <c r="J7" s="629"/>
      <c r="K7" s="629"/>
      <c r="L7" s="9" t="e">
        <f>#REF!</f>
        <v>#REF!</v>
      </c>
    </row>
    <row r="8" spans="2:13">
      <c r="B8" s="79" t="s">
        <v>154</v>
      </c>
      <c r="C8" s="629" t="s">
        <v>155</v>
      </c>
      <c r="D8" s="629"/>
      <c r="E8" s="629"/>
      <c r="F8" s="629"/>
      <c r="G8" s="629"/>
      <c r="H8" s="629"/>
      <c r="I8" s="629"/>
      <c r="J8" s="629"/>
      <c r="K8" s="629"/>
      <c r="L8" s="9"/>
    </row>
    <row r="9" spans="2:13">
      <c r="B9" s="69" t="s">
        <v>6</v>
      </c>
      <c r="C9" s="629" t="s">
        <v>7</v>
      </c>
      <c r="D9" s="629"/>
      <c r="E9" s="629"/>
      <c r="F9" s="617" t="s">
        <v>8</v>
      </c>
      <c r="G9" s="617"/>
      <c r="H9" s="617"/>
      <c r="I9" s="617"/>
      <c r="J9" s="10" t="s">
        <v>9</v>
      </c>
      <c r="K9" s="11">
        <v>0</v>
      </c>
      <c r="L9" s="12">
        <v>0</v>
      </c>
      <c r="M9" s="13"/>
    </row>
    <row r="10" spans="2:13">
      <c r="B10" s="90" t="s">
        <v>10</v>
      </c>
      <c r="C10" s="603" t="s">
        <v>160</v>
      </c>
      <c r="D10" s="604"/>
      <c r="E10" s="604"/>
      <c r="F10" s="604"/>
      <c r="G10" s="604"/>
      <c r="H10" s="604"/>
      <c r="I10" s="605"/>
      <c r="J10" s="10" t="s">
        <v>9</v>
      </c>
      <c r="K10" s="11">
        <v>0</v>
      </c>
      <c r="L10" s="12">
        <v>0</v>
      </c>
      <c r="M10" s="13"/>
    </row>
    <row r="11" spans="2:13">
      <c r="B11" s="90" t="s">
        <v>12</v>
      </c>
      <c r="C11" s="603" t="s">
        <v>157</v>
      </c>
      <c r="D11" s="604"/>
      <c r="E11" s="604"/>
      <c r="F11" s="604"/>
      <c r="G11" s="604"/>
      <c r="H11" s="604"/>
      <c r="I11" s="605"/>
      <c r="J11" s="10" t="s">
        <v>9</v>
      </c>
      <c r="K11" s="11">
        <v>0</v>
      </c>
      <c r="L11" s="12">
        <v>0</v>
      </c>
      <c r="M11" s="13"/>
    </row>
    <row r="12" spans="2:13">
      <c r="B12" s="90" t="s">
        <v>14</v>
      </c>
      <c r="C12" s="603" t="s">
        <v>158</v>
      </c>
      <c r="D12" s="604"/>
      <c r="E12" s="604"/>
      <c r="F12" s="604"/>
      <c r="G12" s="604"/>
      <c r="H12" s="604"/>
      <c r="I12" s="605"/>
      <c r="J12" s="10" t="s">
        <v>9</v>
      </c>
      <c r="K12" s="11">
        <v>0</v>
      </c>
      <c r="L12" s="12">
        <v>0</v>
      </c>
      <c r="M12" s="13"/>
    </row>
    <row r="13" spans="2:13">
      <c r="B13" s="90" t="s">
        <v>1</v>
      </c>
      <c r="C13" s="603" t="s">
        <v>159</v>
      </c>
      <c r="D13" s="604"/>
      <c r="E13" s="604"/>
      <c r="F13" s="604"/>
      <c r="G13" s="604"/>
      <c r="H13" s="604"/>
      <c r="I13" s="605"/>
      <c r="J13" s="10" t="s">
        <v>9</v>
      </c>
      <c r="K13" s="11">
        <v>0</v>
      </c>
      <c r="L13" s="12">
        <v>0</v>
      </c>
      <c r="M13" s="13"/>
    </row>
    <row r="14" spans="2:13">
      <c r="B14" s="90" t="s">
        <v>15</v>
      </c>
      <c r="C14" s="618" t="s">
        <v>11</v>
      </c>
      <c r="D14" s="618"/>
      <c r="E14" s="618"/>
      <c r="F14" s="618"/>
      <c r="G14" s="618"/>
      <c r="H14" s="618"/>
      <c r="I14" s="618"/>
      <c r="J14" s="10" t="s">
        <v>9</v>
      </c>
      <c r="K14" s="14">
        <v>0</v>
      </c>
      <c r="L14" s="12">
        <v>0</v>
      </c>
      <c r="M14" s="13"/>
    </row>
    <row r="15" spans="2:13">
      <c r="B15" s="90" t="s">
        <v>16</v>
      </c>
      <c r="C15" s="619" t="s">
        <v>13</v>
      </c>
      <c r="D15" s="619"/>
      <c r="E15" s="619"/>
      <c r="F15" s="619"/>
      <c r="G15" s="619"/>
      <c r="H15" s="619"/>
      <c r="I15" s="619"/>
      <c r="J15" s="619"/>
      <c r="K15" s="619"/>
      <c r="L15" s="12">
        <v>0</v>
      </c>
      <c r="M15" s="13"/>
    </row>
    <row r="16" spans="2:13">
      <c r="B16" s="90" t="s">
        <v>156</v>
      </c>
      <c r="C16" s="620" t="s">
        <v>0</v>
      </c>
      <c r="D16" s="620"/>
      <c r="E16" s="620"/>
      <c r="F16" s="620"/>
      <c r="G16" s="620"/>
      <c r="H16" s="620"/>
      <c r="I16" s="620"/>
      <c r="J16" s="620"/>
      <c r="K16" s="620"/>
      <c r="L16" s="12"/>
      <c r="M16" s="13"/>
    </row>
    <row r="17" spans="2:13">
      <c r="B17" s="621" t="s">
        <v>208</v>
      </c>
      <c r="C17" s="621"/>
      <c r="D17" s="621"/>
      <c r="E17" s="621"/>
      <c r="F17" s="621"/>
      <c r="G17" s="621"/>
      <c r="H17" s="621"/>
      <c r="I17" s="621"/>
      <c r="J17" s="621"/>
      <c r="K17" s="621"/>
      <c r="L17" s="100" t="e">
        <f>SUM(L7:L16)</f>
        <v>#REF!</v>
      </c>
      <c r="M17" s="15"/>
    </row>
    <row r="18" spans="2:13">
      <c r="B18" s="16"/>
      <c r="C18" s="16"/>
      <c r="D18" s="16"/>
      <c r="E18" s="16"/>
      <c r="F18" s="16"/>
      <c r="G18" s="16"/>
      <c r="H18" s="16"/>
      <c r="I18" s="17"/>
      <c r="J18" s="16"/>
      <c r="K18" s="16"/>
    </row>
    <row r="19" spans="2:13">
      <c r="B19" s="611" t="s">
        <v>161</v>
      </c>
      <c r="C19" s="611"/>
      <c r="D19" s="611"/>
      <c r="E19" s="611"/>
      <c r="F19" s="611"/>
      <c r="G19" s="611"/>
      <c r="H19" s="611"/>
      <c r="I19" s="611"/>
      <c r="J19" s="611"/>
      <c r="K19" s="611"/>
      <c r="L19" s="7" t="str">
        <f>L5</f>
        <v>SERVENTE</v>
      </c>
    </row>
    <row r="20" spans="2:13">
      <c r="B20" s="612" t="s">
        <v>162</v>
      </c>
      <c r="C20" s="613"/>
      <c r="D20" s="613"/>
      <c r="E20" s="613"/>
      <c r="F20" s="613"/>
      <c r="G20" s="613"/>
      <c r="H20" s="613"/>
      <c r="I20" s="613"/>
      <c r="J20" s="613"/>
      <c r="K20" s="92" t="s">
        <v>9</v>
      </c>
      <c r="L20" s="12" t="s">
        <v>166</v>
      </c>
    </row>
    <row r="21" spans="2:13">
      <c r="B21" s="90" t="s">
        <v>4</v>
      </c>
      <c r="C21" s="603" t="s">
        <v>163</v>
      </c>
      <c r="D21" s="604"/>
      <c r="E21" s="604"/>
      <c r="F21" s="604"/>
      <c r="G21" s="604"/>
      <c r="H21" s="604"/>
      <c r="I21" s="604"/>
      <c r="J21" s="605"/>
      <c r="K21" s="34">
        <v>8.3299999999999999E-2</v>
      </c>
      <c r="L21" s="12" t="e">
        <f>K21*L17</f>
        <v>#REF!</v>
      </c>
    </row>
    <row r="22" spans="2:13">
      <c r="B22" s="90" t="s">
        <v>6</v>
      </c>
      <c r="C22" s="603" t="s">
        <v>164</v>
      </c>
      <c r="D22" s="604"/>
      <c r="E22" s="604"/>
      <c r="F22" s="604"/>
      <c r="G22" s="604"/>
      <c r="H22" s="604"/>
      <c r="I22" s="604"/>
      <c r="J22" s="605"/>
      <c r="K22" s="34">
        <v>2.7799999999999998E-2</v>
      </c>
      <c r="L22" s="12" t="e">
        <f>K22*L17</f>
        <v>#REF!</v>
      </c>
    </row>
    <row r="23" spans="2:13">
      <c r="B23" s="614" t="s">
        <v>165</v>
      </c>
      <c r="C23" s="615"/>
      <c r="D23" s="615"/>
      <c r="E23" s="615"/>
      <c r="F23" s="615"/>
      <c r="G23" s="615"/>
      <c r="H23" s="615"/>
      <c r="I23" s="615"/>
      <c r="J23" s="616"/>
      <c r="K23" s="34">
        <f>SUM(K21:K22)</f>
        <v>0.1111</v>
      </c>
      <c r="L23" s="12" t="e">
        <f>SUM(L21:L22)</f>
        <v>#REF!</v>
      </c>
    </row>
    <row r="24" spans="2:13">
      <c r="B24" s="93"/>
      <c r="C24" s="94"/>
      <c r="D24" s="94"/>
      <c r="E24" s="94"/>
      <c r="F24" s="94"/>
      <c r="G24" s="94"/>
      <c r="H24" s="94"/>
      <c r="I24" s="94"/>
      <c r="J24" s="95"/>
      <c r="K24" s="34"/>
      <c r="L24" s="12"/>
    </row>
    <row r="25" spans="2:13">
      <c r="B25" s="612" t="s">
        <v>167</v>
      </c>
      <c r="C25" s="613"/>
      <c r="D25" s="613"/>
      <c r="E25" s="613"/>
      <c r="F25" s="613"/>
      <c r="G25" s="613"/>
      <c r="H25" s="613"/>
      <c r="I25" s="613"/>
      <c r="J25" s="613"/>
      <c r="K25" s="92" t="s">
        <v>9</v>
      </c>
      <c r="L25" s="12" t="s">
        <v>166</v>
      </c>
    </row>
    <row r="26" spans="2:13">
      <c r="B26" s="74" t="s">
        <v>4</v>
      </c>
      <c r="C26" s="617" t="s">
        <v>17</v>
      </c>
      <c r="D26" s="617"/>
      <c r="E26" s="617"/>
      <c r="F26" s="617"/>
      <c r="G26" s="617"/>
      <c r="H26" s="617"/>
      <c r="I26" s="617"/>
      <c r="J26" s="617"/>
      <c r="K26" s="27">
        <v>0.2</v>
      </c>
      <c r="L26" s="28" t="e">
        <f>ROUND($K$26*L17,2)</f>
        <v>#REF!</v>
      </c>
    </row>
    <row r="27" spans="2:13">
      <c r="B27" s="74" t="s">
        <v>6</v>
      </c>
      <c r="C27" s="617" t="s">
        <v>18</v>
      </c>
      <c r="D27" s="617"/>
      <c r="E27" s="617"/>
      <c r="F27" s="617"/>
      <c r="G27" s="617"/>
      <c r="H27" s="617"/>
      <c r="I27" s="617"/>
      <c r="J27" s="617"/>
      <c r="K27" s="27">
        <v>1.4999999999999999E-2</v>
      </c>
      <c r="L27" s="28" t="e">
        <f>ROUND($K$27*L17,2)</f>
        <v>#REF!</v>
      </c>
    </row>
    <row r="28" spans="2:13">
      <c r="B28" s="74" t="s">
        <v>10</v>
      </c>
      <c r="C28" s="617" t="s">
        <v>19</v>
      </c>
      <c r="D28" s="617"/>
      <c r="E28" s="617"/>
      <c r="F28" s="617"/>
      <c r="G28" s="617"/>
      <c r="H28" s="617"/>
      <c r="I28" s="617"/>
      <c r="J28" s="617"/>
      <c r="K28" s="27">
        <v>0.01</v>
      </c>
      <c r="L28" s="28" t="e">
        <f>ROUND(K28*$L$17,2)</f>
        <v>#REF!</v>
      </c>
    </row>
    <row r="29" spans="2:13">
      <c r="B29" s="74" t="s">
        <v>12</v>
      </c>
      <c r="C29" s="617" t="s">
        <v>20</v>
      </c>
      <c r="D29" s="617"/>
      <c r="E29" s="617"/>
      <c r="F29" s="617"/>
      <c r="G29" s="617"/>
      <c r="H29" s="617"/>
      <c r="I29" s="617"/>
      <c r="J29" s="617"/>
      <c r="K29" s="27">
        <v>2E-3</v>
      </c>
      <c r="L29" s="28" t="e">
        <f>ROUND(K29*$L$17,2)</f>
        <v>#REF!</v>
      </c>
    </row>
    <row r="30" spans="2:13">
      <c r="B30" s="74" t="s">
        <v>14</v>
      </c>
      <c r="C30" s="617" t="s">
        <v>21</v>
      </c>
      <c r="D30" s="617"/>
      <c r="E30" s="617"/>
      <c r="F30" s="617"/>
      <c r="G30" s="617"/>
      <c r="H30" s="617"/>
      <c r="I30" s="617"/>
      <c r="J30" s="617"/>
      <c r="K30" s="27">
        <v>2.5000000000000001E-2</v>
      </c>
      <c r="L30" s="28" t="e">
        <f>ROUND(K30*$L$17,2)</f>
        <v>#REF!</v>
      </c>
      <c r="M30" s="29"/>
    </row>
    <row r="31" spans="2:13">
      <c r="B31" s="74" t="s">
        <v>1</v>
      </c>
      <c r="C31" s="603" t="s">
        <v>153</v>
      </c>
      <c r="D31" s="605"/>
      <c r="E31" s="638">
        <v>0.08</v>
      </c>
      <c r="F31" s="639"/>
      <c r="G31" s="603" t="s">
        <v>152</v>
      </c>
      <c r="H31" s="604"/>
      <c r="I31" s="604"/>
      <c r="J31" s="605"/>
      <c r="K31" s="27">
        <f>E31*(1+(1/12)+(1/12/3))</f>
        <v>8.8888888888888878E-2</v>
      </c>
      <c r="L31" s="28" t="e">
        <f>ROUND(K31*($L$17+(1/3/12*L17)+(1/12*L17)),2)</f>
        <v>#REF!</v>
      </c>
      <c r="M31" s="1" t="s">
        <v>168</v>
      </c>
    </row>
    <row r="32" spans="2:13">
      <c r="B32" s="74" t="s">
        <v>15</v>
      </c>
      <c r="C32" s="617" t="s">
        <v>22</v>
      </c>
      <c r="D32" s="617"/>
      <c r="E32" s="617"/>
      <c r="F32" s="617"/>
      <c r="G32" s="73" t="s">
        <v>23</v>
      </c>
      <c r="H32" s="30">
        <v>0.03</v>
      </c>
      <c r="I32" s="73" t="s">
        <v>24</v>
      </c>
      <c r="J32" s="63">
        <v>1</v>
      </c>
      <c r="K32" s="31">
        <f>H32*J32</f>
        <v>0.03</v>
      </c>
      <c r="L32" s="28" t="e">
        <f>ROUND(K32*$L$17,2)</f>
        <v>#REF!</v>
      </c>
    </row>
    <row r="33" spans="2:20">
      <c r="B33" s="74" t="s">
        <v>16</v>
      </c>
      <c r="C33" s="617" t="s">
        <v>25</v>
      </c>
      <c r="D33" s="617"/>
      <c r="E33" s="617"/>
      <c r="F33" s="617"/>
      <c r="G33" s="617"/>
      <c r="H33" s="617"/>
      <c r="I33" s="617"/>
      <c r="J33" s="617"/>
      <c r="K33" s="27">
        <v>6.0000000000000001E-3</v>
      </c>
      <c r="L33" s="28" t="e">
        <f>ROUND(K33*$L$17,2)</f>
        <v>#REF!</v>
      </c>
      <c r="M33" s="2"/>
      <c r="N33" s="2"/>
      <c r="O33" s="2"/>
      <c r="P33" s="2"/>
      <c r="Q33" s="2"/>
      <c r="R33" s="2"/>
      <c r="S33" s="2"/>
      <c r="T33" s="2"/>
    </row>
    <row r="34" spans="2:20">
      <c r="B34" s="614" t="s">
        <v>169</v>
      </c>
      <c r="C34" s="615"/>
      <c r="D34" s="615"/>
      <c r="E34" s="615"/>
      <c r="F34" s="615"/>
      <c r="G34" s="615"/>
      <c r="H34" s="615"/>
      <c r="I34" s="615"/>
      <c r="J34" s="616"/>
      <c r="K34" s="34">
        <f>SUM(K26:K33)</f>
        <v>0.37688888888888894</v>
      </c>
      <c r="L34" s="12" t="e">
        <f>SUM(L26:L33)</f>
        <v>#REF!</v>
      </c>
      <c r="M34" s="2"/>
      <c r="N34" s="2"/>
      <c r="O34" s="2"/>
      <c r="P34" s="2"/>
      <c r="Q34" s="2"/>
      <c r="R34" s="2"/>
      <c r="S34" s="2"/>
      <c r="T34" s="2"/>
    </row>
    <row r="35" spans="2:20">
      <c r="B35" s="93"/>
      <c r="C35" s="94"/>
      <c r="D35" s="94"/>
      <c r="E35" s="94"/>
      <c r="F35" s="94"/>
      <c r="G35" s="94"/>
      <c r="H35" s="94"/>
      <c r="I35" s="94"/>
      <c r="J35" s="95"/>
      <c r="K35" s="34"/>
      <c r="L35" s="12"/>
      <c r="M35" s="2"/>
      <c r="N35" s="2"/>
      <c r="O35" s="2"/>
      <c r="P35" s="2"/>
      <c r="Q35" s="2"/>
      <c r="R35" s="2"/>
      <c r="S35" s="2"/>
      <c r="T35" s="2"/>
    </row>
    <row r="36" spans="2:20">
      <c r="B36" s="612" t="s">
        <v>170</v>
      </c>
      <c r="C36" s="613"/>
      <c r="D36" s="613"/>
      <c r="E36" s="613"/>
      <c r="F36" s="613"/>
      <c r="G36" s="613"/>
      <c r="H36" s="613"/>
      <c r="I36" s="613"/>
      <c r="J36" s="613"/>
      <c r="K36" s="92"/>
      <c r="L36" s="12" t="s">
        <v>166</v>
      </c>
    </row>
    <row r="37" spans="2:20">
      <c r="B37" s="69" t="s">
        <v>4</v>
      </c>
      <c r="C37" s="603" t="e">
        <f>#REF!</f>
        <v>#REF!</v>
      </c>
      <c r="D37" s="604"/>
      <c r="E37" s="604"/>
      <c r="F37" s="604"/>
      <c r="G37" s="604"/>
      <c r="H37" s="604"/>
      <c r="I37" s="604"/>
      <c r="J37" s="605"/>
      <c r="K37" s="80"/>
      <c r="L37" s="12" t="e">
        <f>#REF!</f>
        <v>#REF!</v>
      </c>
    </row>
    <row r="38" spans="2:20">
      <c r="B38" s="69" t="s">
        <v>6</v>
      </c>
      <c r="C38" s="603" t="e">
        <f>#REF!</f>
        <v>#REF!</v>
      </c>
      <c r="D38" s="604"/>
      <c r="E38" s="604"/>
      <c r="F38" s="604"/>
      <c r="G38" s="604"/>
      <c r="H38" s="604"/>
      <c r="I38" s="604"/>
      <c r="J38" s="605"/>
      <c r="K38" s="80"/>
      <c r="L38" s="12" t="e">
        <f>#REF!</f>
        <v>#REF!</v>
      </c>
    </row>
    <row r="39" spans="2:20">
      <c r="B39" s="69" t="s">
        <v>10</v>
      </c>
      <c r="C39" s="603" t="e">
        <f>#REF!</f>
        <v>#REF!</v>
      </c>
      <c r="D39" s="604"/>
      <c r="E39" s="604"/>
      <c r="F39" s="604"/>
      <c r="G39" s="604"/>
      <c r="H39" s="604"/>
      <c r="I39" s="604"/>
      <c r="J39" s="605"/>
      <c r="K39" s="80"/>
      <c r="L39" s="12" t="e">
        <f>#REF!</f>
        <v>#REF!</v>
      </c>
    </row>
    <row r="40" spans="2:20">
      <c r="B40" s="79" t="s">
        <v>12</v>
      </c>
      <c r="C40" s="603" t="e">
        <f>#REF!</f>
        <v>#REF!</v>
      </c>
      <c r="D40" s="604"/>
      <c r="E40" s="604"/>
      <c r="F40" s="604"/>
      <c r="G40" s="604"/>
      <c r="H40" s="604"/>
      <c r="I40" s="604"/>
      <c r="J40" s="605"/>
      <c r="K40" s="80"/>
      <c r="L40" s="12" t="e">
        <f>#REF!</f>
        <v>#REF!</v>
      </c>
    </row>
    <row r="41" spans="2:20">
      <c r="B41" s="79" t="s">
        <v>14</v>
      </c>
      <c r="C41" s="603" t="e">
        <f>#REF!</f>
        <v>#REF!</v>
      </c>
      <c r="D41" s="604"/>
      <c r="E41" s="604"/>
      <c r="F41" s="604"/>
      <c r="G41" s="604"/>
      <c r="H41" s="604"/>
      <c r="I41" s="604"/>
      <c r="J41" s="605"/>
      <c r="K41" s="81"/>
      <c r="L41" s="12" t="e">
        <f>#REF!</f>
        <v>#REF!</v>
      </c>
    </row>
    <row r="42" spans="2:20">
      <c r="B42" s="79" t="s">
        <v>1</v>
      </c>
      <c r="C42" s="603" t="e">
        <f>#REF!</f>
        <v>#REF!</v>
      </c>
      <c r="D42" s="604"/>
      <c r="E42" s="604"/>
      <c r="F42" s="604"/>
      <c r="G42" s="604"/>
      <c r="H42" s="604"/>
      <c r="I42" s="604"/>
      <c r="J42" s="605"/>
      <c r="K42" s="82"/>
      <c r="L42" s="12" t="e">
        <f>#REF!</f>
        <v>#REF!</v>
      </c>
    </row>
    <row r="43" spans="2:20">
      <c r="B43" s="79" t="s">
        <v>15</v>
      </c>
      <c r="C43" s="603" t="e">
        <f>#REF!</f>
        <v>#REF!</v>
      </c>
      <c r="D43" s="604"/>
      <c r="E43" s="604"/>
      <c r="F43" s="604"/>
      <c r="G43" s="604"/>
      <c r="H43" s="604"/>
      <c r="I43" s="604"/>
      <c r="J43" s="605"/>
      <c r="K43" s="82"/>
      <c r="L43" s="12" t="e">
        <f>#REF!</f>
        <v>#REF!</v>
      </c>
    </row>
    <row r="44" spans="2:20">
      <c r="B44" s="79" t="s">
        <v>16</v>
      </c>
      <c r="C44" s="620" t="s">
        <v>0</v>
      </c>
      <c r="D44" s="620"/>
      <c r="E44" s="620"/>
      <c r="F44" s="620"/>
      <c r="G44" s="620"/>
      <c r="H44" s="620"/>
      <c r="I44" s="620"/>
      <c r="J44" s="620"/>
      <c r="K44" s="620"/>
      <c r="L44" s="19">
        <v>0</v>
      </c>
    </row>
    <row r="45" spans="2:20">
      <c r="B45" s="614" t="s">
        <v>172</v>
      </c>
      <c r="C45" s="615"/>
      <c r="D45" s="615"/>
      <c r="E45" s="615"/>
      <c r="F45" s="615"/>
      <c r="G45" s="615"/>
      <c r="H45" s="615"/>
      <c r="I45" s="615"/>
      <c r="J45" s="616"/>
      <c r="K45" s="34"/>
      <c r="L45" s="12" t="e">
        <f>SUM(L37:L44)</f>
        <v>#REF!</v>
      </c>
    </row>
    <row r="46" spans="2:20">
      <c r="B46" s="93"/>
      <c r="C46" s="94"/>
      <c r="D46" s="94"/>
      <c r="E46" s="94"/>
      <c r="F46" s="94"/>
      <c r="G46" s="94"/>
      <c r="H46" s="94"/>
      <c r="I46" s="94"/>
      <c r="J46" s="95"/>
      <c r="K46" s="34"/>
      <c r="L46" s="12"/>
    </row>
    <row r="47" spans="2:20">
      <c r="B47" s="602" t="s">
        <v>173</v>
      </c>
      <c r="C47" s="602"/>
      <c r="D47" s="602"/>
      <c r="E47" s="602"/>
      <c r="F47" s="602"/>
      <c r="G47" s="602"/>
      <c r="H47" s="602"/>
      <c r="I47" s="602"/>
      <c r="J47" s="602"/>
      <c r="K47" s="602"/>
      <c r="L47" s="7" t="str">
        <f>L5</f>
        <v>SERVENTE</v>
      </c>
    </row>
    <row r="48" spans="2:20">
      <c r="B48" s="90" t="s">
        <v>174</v>
      </c>
      <c r="C48" s="603" t="s">
        <v>177</v>
      </c>
      <c r="D48" s="604"/>
      <c r="E48" s="604"/>
      <c r="F48" s="604"/>
      <c r="G48" s="604"/>
      <c r="H48" s="604"/>
      <c r="I48" s="604"/>
      <c r="J48" s="605"/>
      <c r="K48" s="80"/>
      <c r="L48" s="12" t="e">
        <f>L23</f>
        <v>#REF!</v>
      </c>
    </row>
    <row r="49" spans="2:12">
      <c r="B49" s="90" t="s">
        <v>175</v>
      </c>
      <c r="C49" s="603" t="s">
        <v>178</v>
      </c>
      <c r="D49" s="604"/>
      <c r="E49" s="604"/>
      <c r="F49" s="604"/>
      <c r="G49" s="604"/>
      <c r="H49" s="604"/>
      <c r="I49" s="604"/>
      <c r="J49" s="605"/>
      <c r="K49" s="80"/>
      <c r="L49" s="12" t="e">
        <f>L34</f>
        <v>#REF!</v>
      </c>
    </row>
    <row r="50" spans="2:12">
      <c r="B50" s="90" t="s">
        <v>176</v>
      </c>
      <c r="C50" s="603" t="s">
        <v>180</v>
      </c>
      <c r="D50" s="604"/>
      <c r="E50" s="604"/>
      <c r="F50" s="604"/>
      <c r="G50" s="604"/>
      <c r="H50" s="604"/>
      <c r="I50" s="604"/>
      <c r="J50" s="605"/>
      <c r="K50" s="80"/>
      <c r="L50" s="12" t="e">
        <f>L45</f>
        <v>#REF!</v>
      </c>
    </row>
    <row r="51" spans="2:12">
      <c r="B51" s="606" t="s">
        <v>179</v>
      </c>
      <c r="C51" s="607"/>
      <c r="D51" s="607"/>
      <c r="E51" s="607"/>
      <c r="F51" s="607"/>
      <c r="G51" s="607"/>
      <c r="H51" s="607"/>
      <c r="I51" s="607"/>
      <c r="J51" s="608"/>
      <c r="K51" s="101"/>
      <c r="L51" s="102" t="e">
        <f>SUM(L48:L50)</f>
        <v>#REF!</v>
      </c>
    </row>
    <row r="52" spans="2:12">
      <c r="B52" s="609"/>
      <c r="C52" s="610"/>
      <c r="D52" s="610"/>
      <c r="E52" s="610"/>
      <c r="F52" s="610"/>
      <c r="G52" s="610"/>
      <c r="H52" s="610"/>
      <c r="I52" s="610"/>
      <c r="J52" s="610"/>
      <c r="K52" s="610"/>
      <c r="L52" s="610"/>
    </row>
    <row r="53" spans="2:12">
      <c r="B53" s="611" t="s">
        <v>171</v>
      </c>
      <c r="C53" s="611"/>
      <c r="D53" s="611"/>
      <c r="E53" s="611"/>
      <c r="F53" s="611"/>
      <c r="G53" s="611"/>
      <c r="H53" s="611"/>
      <c r="I53" s="611"/>
      <c r="J53" s="611"/>
      <c r="K53" s="97" t="s">
        <v>9</v>
      </c>
      <c r="L53" s="98" t="s">
        <v>166</v>
      </c>
    </row>
    <row r="54" spans="2:12">
      <c r="B54" s="69" t="s">
        <v>4</v>
      </c>
      <c r="C54" s="617" t="s">
        <v>26</v>
      </c>
      <c r="D54" s="617"/>
      <c r="E54" s="617"/>
      <c r="F54" s="617"/>
      <c r="G54" s="617"/>
      <c r="H54" s="617"/>
      <c r="I54" s="38">
        <v>30</v>
      </c>
      <c r="J54" s="39">
        <v>0.05</v>
      </c>
      <c r="K54" s="34">
        <f>I54/30/12*J54</f>
        <v>4.1666666666666666E-3</v>
      </c>
      <c r="L54" s="12" t="e">
        <f t="shared" ref="L54:L59" si="0">ROUND(K54*$L$17,2)</f>
        <v>#REF!</v>
      </c>
    </row>
    <row r="55" spans="2:12">
      <c r="B55" s="69" t="s">
        <v>6</v>
      </c>
      <c r="C55" s="617" t="s">
        <v>27</v>
      </c>
      <c r="D55" s="617"/>
      <c r="E55" s="617"/>
      <c r="F55" s="617"/>
      <c r="G55" s="617"/>
      <c r="H55" s="617"/>
      <c r="I55" s="617"/>
      <c r="J55" s="617"/>
      <c r="K55" s="34">
        <f>K31*K54</f>
        <v>3.703703703703703E-4</v>
      </c>
      <c r="L55" s="12" t="e">
        <f t="shared" si="0"/>
        <v>#REF!</v>
      </c>
    </row>
    <row r="56" spans="2:12">
      <c r="B56" s="90" t="s">
        <v>10</v>
      </c>
      <c r="C56" s="617" t="s">
        <v>182</v>
      </c>
      <c r="D56" s="617"/>
      <c r="E56" s="617"/>
      <c r="F56" s="617"/>
      <c r="G56" s="617"/>
      <c r="H56" s="617"/>
      <c r="I56" s="617"/>
      <c r="J56" s="617"/>
      <c r="K56" s="34">
        <f>0.5*K55</f>
        <v>1.8518518518518515E-4</v>
      </c>
      <c r="L56" s="12" t="e">
        <f t="shared" si="0"/>
        <v>#REF!</v>
      </c>
    </row>
    <row r="57" spans="2:12">
      <c r="B57" s="90" t="s">
        <v>12</v>
      </c>
      <c r="C57" s="617" t="s">
        <v>184</v>
      </c>
      <c r="D57" s="617"/>
      <c r="E57" s="617"/>
      <c r="F57" s="617"/>
      <c r="G57" s="617"/>
      <c r="H57" s="617"/>
      <c r="I57" s="617"/>
      <c r="J57" s="617"/>
      <c r="K57" s="34">
        <v>4.0000000000000002E-4</v>
      </c>
      <c r="L57" s="12" t="e">
        <f t="shared" si="0"/>
        <v>#REF!</v>
      </c>
    </row>
    <row r="58" spans="2:12">
      <c r="B58" s="90" t="s">
        <v>14</v>
      </c>
      <c r="C58" s="617" t="s">
        <v>183</v>
      </c>
      <c r="D58" s="617"/>
      <c r="E58" s="617"/>
      <c r="F58" s="617"/>
      <c r="G58" s="617"/>
      <c r="H58" s="617"/>
      <c r="I58" s="617"/>
      <c r="J58" s="617"/>
      <c r="K58" s="34">
        <f>K34*K57</f>
        <v>1.5075555555555558E-4</v>
      </c>
      <c r="L58" s="12" t="e">
        <f t="shared" si="0"/>
        <v>#REF!</v>
      </c>
    </row>
    <row r="59" spans="2:12">
      <c r="B59" s="90" t="s">
        <v>1</v>
      </c>
      <c r="C59" s="617" t="s">
        <v>185</v>
      </c>
      <c r="D59" s="617"/>
      <c r="E59" s="617"/>
      <c r="F59" s="617"/>
      <c r="G59" s="617"/>
      <c r="H59" s="617"/>
      <c r="I59" s="617"/>
      <c r="J59" s="617"/>
      <c r="K59" s="96">
        <f>0.5*0.08*K57</f>
        <v>1.6000000000000003E-5</v>
      </c>
      <c r="L59" s="12" t="e">
        <f t="shared" si="0"/>
        <v>#REF!</v>
      </c>
    </row>
    <row r="60" spans="2:12" ht="15" customHeight="1">
      <c r="B60" s="606" t="s">
        <v>181</v>
      </c>
      <c r="C60" s="607"/>
      <c r="D60" s="607"/>
      <c r="E60" s="607"/>
      <c r="F60" s="607"/>
      <c r="G60" s="607"/>
      <c r="H60" s="607"/>
      <c r="I60" s="607"/>
      <c r="J60" s="608"/>
      <c r="K60" s="101"/>
      <c r="L60" s="102" t="e">
        <f>SUM(L54:L59)</f>
        <v>#REF!</v>
      </c>
    </row>
    <row r="61" spans="2:12">
      <c r="B61" s="20"/>
      <c r="C61" s="16"/>
      <c r="D61" s="16"/>
      <c r="E61" s="20"/>
      <c r="F61" s="20"/>
      <c r="G61" s="20"/>
      <c r="H61" s="20"/>
      <c r="I61" s="21"/>
      <c r="J61" s="22"/>
      <c r="K61" s="20"/>
    </row>
    <row r="62" spans="2:12">
      <c r="B62" s="611" t="s">
        <v>186</v>
      </c>
      <c r="C62" s="611"/>
      <c r="D62" s="611"/>
      <c r="E62" s="611"/>
      <c r="F62" s="611"/>
      <c r="G62" s="611"/>
      <c r="H62" s="611"/>
      <c r="I62" s="611"/>
      <c r="J62" s="611"/>
      <c r="K62" s="97"/>
      <c r="L62" s="98"/>
    </row>
    <row r="63" spans="2:12">
      <c r="B63" s="612" t="s">
        <v>191</v>
      </c>
      <c r="C63" s="613"/>
      <c r="D63" s="613"/>
      <c r="E63" s="613"/>
      <c r="F63" s="613"/>
      <c r="G63" s="613"/>
      <c r="H63" s="613"/>
      <c r="I63" s="613"/>
      <c r="J63" s="613"/>
      <c r="K63" s="92" t="s">
        <v>9</v>
      </c>
      <c r="L63" s="12" t="s">
        <v>166</v>
      </c>
    </row>
    <row r="64" spans="2:12">
      <c r="B64" s="69" t="s">
        <v>4</v>
      </c>
      <c r="C64" s="629" t="s">
        <v>187</v>
      </c>
      <c r="D64" s="629"/>
      <c r="E64" s="629"/>
      <c r="F64" s="629"/>
      <c r="G64" s="629"/>
      <c r="H64" s="629"/>
      <c r="I64" s="629"/>
      <c r="J64" s="629"/>
      <c r="K64" s="41">
        <f>1/12</f>
        <v>8.3333333333333329E-2</v>
      </c>
      <c r="L64" s="12" t="e">
        <f t="shared" ref="L64:L69" si="1">K64*$L$17</f>
        <v>#REF!</v>
      </c>
    </row>
    <row r="65" spans="2:13">
      <c r="B65" s="69" t="s">
        <v>6</v>
      </c>
      <c r="C65" s="617" t="s">
        <v>188</v>
      </c>
      <c r="D65" s="617"/>
      <c r="E65" s="617"/>
      <c r="F65" s="617"/>
      <c r="G65" s="640" t="s">
        <v>29</v>
      </c>
      <c r="H65" s="640"/>
      <c r="I65" s="640"/>
      <c r="J65" s="42">
        <v>3</v>
      </c>
      <c r="K65" s="41">
        <f>J65/30/12</f>
        <v>8.3333333333333332E-3</v>
      </c>
      <c r="L65" s="12" t="e">
        <f t="shared" si="1"/>
        <v>#REF!</v>
      </c>
      <c r="M65" s="1" t="s">
        <v>168</v>
      </c>
    </row>
    <row r="66" spans="2:13">
      <c r="B66" s="69" t="s">
        <v>10</v>
      </c>
      <c r="C66" s="617" t="s">
        <v>30</v>
      </c>
      <c r="D66" s="617"/>
      <c r="E66" s="617"/>
      <c r="F66" s="617"/>
      <c r="G66" s="640" t="s">
        <v>28</v>
      </c>
      <c r="H66" s="640"/>
      <c r="I66" s="36">
        <v>1.4999999999999999E-2</v>
      </c>
      <c r="J66" s="43">
        <v>5</v>
      </c>
      <c r="K66" s="41">
        <f>J66/30/12*I66</f>
        <v>2.0833333333333332E-4</v>
      </c>
      <c r="L66" s="12" t="e">
        <f t="shared" si="1"/>
        <v>#REF!</v>
      </c>
    </row>
    <row r="67" spans="2:13">
      <c r="B67" s="69" t="s">
        <v>12</v>
      </c>
      <c r="C67" s="640" t="s">
        <v>189</v>
      </c>
      <c r="D67" s="640"/>
      <c r="E67" s="640"/>
      <c r="F67" s="42"/>
      <c r="G67" s="640" t="s">
        <v>28</v>
      </c>
      <c r="H67" s="640"/>
      <c r="I67" s="36">
        <v>7.7999999999999996E-3</v>
      </c>
      <c r="J67" s="44">
        <v>15</v>
      </c>
      <c r="K67" s="41">
        <f>J67/30/12*I67</f>
        <v>3.2499999999999999E-4</v>
      </c>
      <c r="L67" s="12" t="e">
        <f t="shared" si="1"/>
        <v>#REF!</v>
      </c>
    </row>
    <row r="68" spans="2:13">
      <c r="B68" s="69" t="s">
        <v>14</v>
      </c>
      <c r="C68" s="640" t="s">
        <v>190</v>
      </c>
      <c r="D68" s="640"/>
      <c r="E68" s="640"/>
      <c r="F68" s="42"/>
      <c r="G68" s="641"/>
      <c r="H68" s="640"/>
      <c r="I68" s="36"/>
      <c r="J68" s="44"/>
      <c r="K68" s="41">
        <v>6.1000000000000004E-3</v>
      </c>
      <c r="L68" s="12" t="e">
        <f t="shared" si="1"/>
        <v>#REF!</v>
      </c>
      <c r="M68" s="64" t="s">
        <v>168</v>
      </c>
    </row>
    <row r="69" spans="2:13">
      <c r="B69" s="69" t="s">
        <v>1</v>
      </c>
      <c r="C69" s="620" t="s">
        <v>0</v>
      </c>
      <c r="D69" s="620"/>
      <c r="E69" s="620" t="s">
        <v>31</v>
      </c>
      <c r="F69" s="620"/>
      <c r="G69" s="620"/>
      <c r="H69" s="620"/>
      <c r="I69" s="620"/>
      <c r="J69" s="620"/>
      <c r="K69" s="45"/>
      <c r="L69" s="12" t="e">
        <f t="shared" si="1"/>
        <v>#REF!</v>
      </c>
      <c r="M69" s="64"/>
    </row>
    <row r="70" spans="2:13">
      <c r="B70" s="614" t="s">
        <v>192</v>
      </c>
      <c r="C70" s="615"/>
      <c r="D70" s="615"/>
      <c r="E70" s="615"/>
      <c r="F70" s="615"/>
      <c r="G70" s="615"/>
      <c r="H70" s="615"/>
      <c r="I70" s="615"/>
      <c r="J70" s="616"/>
      <c r="K70" s="46"/>
      <c r="L70" s="12" t="e">
        <f>SUM(L64:L69)</f>
        <v>#REF!</v>
      </c>
    </row>
    <row r="71" spans="2:13">
      <c r="B71" s="93"/>
      <c r="C71" s="94"/>
      <c r="D71" s="94"/>
      <c r="E71" s="94"/>
      <c r="F71" s="94"/>
      <c r="G71" s="94"/>
      <c r="H71" s="94"/>
      <c r="I71" s="94"/>
      <c r="J71" s="95"/>
      <c r="K71" s="34"/>
      <c r="L71" s="12"/>
    </row>
    <row r="72" spans="2:13">
      <c r="B72" s="612" t="s">
        <v>193</v>
      </c>
      <c r="C72" s="613"/>
      <c r="D72" s="613"/>
      <c r="E72" s="613"/>
      <c r="F72" s="613"/>
      <c r="G72" s="613"/>
      <c r="H72" s="613"/>
      <c r="I72" s="613"/>
      <c r="J72" s="613"/>
      <c r="K72" s="92" t="s">
        <v>9</v>
      </c>
      <c r="L72" s="12" t="s">
        <v>166</v>
      </c>
    </row>
    <row r="73" spans="2:13">
      <c r="B73" s="90" t="s">
        <v>4</v>
      </c>
      <c r="C73" s="629" t="s">
        <v>194</v>
      </c>
      <c r="D73" s="629"/>
      <c r="E73" s="629"/>
      <c r="F73" s="629"/>
      <c r="G73" s="629"/>
      <c r="H73" s="629"/>
      <c r="I73" s="629"/>
      <c r="J73" s="629"/>
      <c r="K73" s="41">
        <v>0</v>
      </c>
      <c r="L73" s="12" t="e">
        <f>K73*$L$17</f>
        <v>#REF!</v>
      </c>
    </row>
    <row r="74" spans="2:13">
      <c r="B74" s="614" t="s">
        <v>195</v>
      </c>
      <c r="C74" s="615"/>
      <c r="D74" s="615"/>
      <c r="E74" s="615"/>
      <c r="F74" s="615"/>
      <c r="G74" s="615"/>
      <c r="H74" s="615"/>
      <c r="I74" s="615"/>
      <c r="J74" s="616"/>
      <c r="K74" s="46"/>
      <c r="L74" s="12" t="e">
        <f>SUM(L73:L73)</f>
        <v>#REF!</v>
      </c>
    </row>
    <row r="75" spans="2:13">
      <c r="B75" s="93"/>
      <c r="C75" s="94"/>
      <c r="D75" s="94"/>
      <c r="E75" s="94"/>
      <c r="F75" s="94"/>
      <c r="G75" s="94"/>
      <c r="H75" s="94"/>
      <c r="I75" s="94"/>
      <c r="J75" s="94"/>
      <c r="K75" s="99"/>
      <c r="L75" s="12"/>
    </row>
    <row r="76" spans="2:13">
      <c r="B76" s="602" t="s">
        <v>196</v>
      </c>
      <c r="C76" s="602"/>
      <c r="D76" s="602"/>
      <c r="E76" s="602"/>
      <c r="F76" s="602"/>
      <c r="G76" s="602"/>
      <c r="H76" s="602"/>
      <c r="I76" s="602"/>
      <c r="J76" s="602"/>
      <c r="K76" s="602"/>
      <c r="L76" s="7" t="e">
        <f>L34</f>
        <v>#REF!</v>
      </c>
    </row>
    <row r="77" spans="2:13">
      <c r="B77" s="90" t="s">
        <v>197</v>
      </c>
      <c r="C77" s="603" t="s">
        <v>188</v>
      </c>
      <c r="D77" s="604"/>
      <c r="E77" s="604"/>
      <c r="F77" s="604"/>
      <c r="G77" s="604"/>
      <c r="H77" s="604"/>
      <c r="I77" s="604"/>
      <c r="J77" s="605"/>
      <c r="K77" s="80"/>
      <c r="L77" s="12" t="e">
        <f>L70</f>
        <v>#REF!</v>
      </c>
    </row>
    <row r="78" spans="2:13">
      <c r="B78" s="90" t="s">
        <v>198</v>
      </c>
      <c r="C78" s="603" t="s">
        <v>199</v>
      </c>
      <c r="D78" s="604"/>
      <c r="E78" s="604"/>
      <c r="F78" s="604"/>
      <c r="G78" s="604"/>
      <c r="H78" s="604"/>
      <c r="I78" s="604"/>
      <c r="J78" s="605"/>
      <c r="K78" s="80"/>
      <c r="L78" s="12" t="e">
        <f>L74</f>
        <v>#REF!</v>
      </c>
    </row>
    <row r="79" spans="2:13">
      <c r="B79" s="606" t="s">
        <v>200</v>
      </c>
      <c r="C79" s="607"/>
      <c r="D79" s="607"/>
      <c r="E79" s="607"/>
      <c r="F79" s="607"/>
      <c r="G79" s="607"/>
      <c r="H79" s="607"/>
      <c r="I79" s="607"/>
      <c r="J79" s="608"/>
      <c r="K79" s="101"/>
      <c r="L79" s="102" t="e">
        <f>SUM(L77:L78)</f>
        <v>#REF!</v>
      </c>
    </row>
    <row r="80" spans="2:13">
      <c r="B80" s="609"/>
      <c r="C80" s="610"/>
      <c r="D80" s="610"/>
      <c r="E80" s="610"/>
      <c r="F80" s="610"/>
      <c r="G80" s="610"/>
      <c r="H80" s="610"/>
      <c r="I80" s="610"/>
      <c r="J80" s="610"/>
      <c r="K80" s="610"/>
      <c r="L80" s="610"/>
    </row>
    <row r="81" spans="2:13">
      <c r="B81" s="611" t="s">
        <v>201</v>
      </c>
      <c r="C81" s="611"/>
      <c r="D81" s="611"/>
      <c r="E81" s="611"/>
      <c r="F81" s="611"/>
      <c r="G81" s="611"/>
      <c r="H81" s="611"/>
      <c r="I81" s="611"/>
      <c r="J81" s="611"/>
      <c r="K81" s="97"/>
      <c r="L81" s="98"/>
      <c r="M81" s="23"/>
    </row>
    <row r="82" spans="2:13">
      <c r="B82" s="69" t="s">
        <v>4</v>
      </c>
      <c r="C82" s="630" t="s">
        <v>54</v>
      </c>
      <c r="D82" s="630"/>
      <c r="E82" s="630"/>
      <c r="F82" s="630"/>
      <c r="G82" s="630"/>
      <c r="H82" s="630"/>
      <c r="I82" s="630"/>
      <c r="J82" s="630"/>
      <c r="K82" s="630"/>
      <c r="L82" s="12" t="e">
        <f>#REF!</f>
        <v>#REF!</v>
      </c>
    </row>
    <row r="83" spans="2:13">
      <c r="B83" s="69" t="s">
        <v>6</v>
      </c>
      <c r="C83" s="631" t="s">
        <v>203</v>
      </c>
      <c r="D83" s="632"/>
      <c r="E83" s="633" t="s">
        <v>55</v>
      </c>
      <c r="F83" s="634"/>
      <c r="G83" s="634"/>
      <c r="H83" s="634"/>
      <c r="I83" s="635"/>
      <c r="J83" s="636">
        <v>0.12</v>
      </c>
      <c r="K83" s="637"/>
      <c r="L83" s="19" t="e">
        <f>(L17+L51+L60+L79+L82)/(1-J83)*J83</f>
        <v>#REF!</v>
      </c>
      <c r="M83" s="24"/>
    </row>
    <row r="84" spans="2:13">
      <c r="B84" s="91" t="s">
        <v>210</v>
      </c>
      <c r="C84" s="631" t="s">
        <v>211</v>
      </c>
      <c r="D84" s="632"/>
      <c r="E84" s="633"/>
      <c r="F84" s="634"/>
      <c r="G84" s="634"/>
      <c r="H84" s="634"/>
      <c r="I84" s="635"/>
      <c r="J84" s="657">
        <f>H95+H96</f>
        <v>9.2499999999999999E-2</v>
      </c>
      <c r="K84" s="658"/>
      <c r="L84" s="19" t="e">
        <f>-J84*L83</f>
        <v>#REF!</v>
      </c>
      <c r="M84" s="24"/>
    </row>
    <row r="85" spans="2:13">
      <c r="B85" s="90" t="s">
        <v>10</v>
      </c>
      <c r="C85" s="83" t="s">
        <v>202</v>
      </c>
      <c r="D85" s="84"/>
      <c r="E85" s="85"/>
      <c r="F85" s="86"/>
      <c r="G85" s="86"/>
      <c r="H85" s="86"/>
      <c r="I85" s="87"/>
      <c r="J85" s="88"/>
      <c r="K85" s="89"/>
      <c r="L85" s="19"/>
      <c r="M85" s="24"/>
    </row>
    <row r="86" spans="2:13">
      <c r="B86" s="69" t="s">
        <v>204</v>
      </c>
      <c r="C86" s="620" t="s">
        <v>0</v>
      </c>
      <c r="D86" s="620"/>
      <c r="E86" s="620"/>
      <c r="F86" s="620"/>
      <c r="G86" s="620"/>
      <c r="H86" s="620"/>
      <c r="I86" s="620"/>
      <c r="J86" s="620"/>
      <c r="K86" s="620"/>
      <c r="L86" s="19">
        <v>0</v>
      </c>
    </row>
    <row r="87" spans="2:13">
      <c r="B87" s="606" t="s">
        <v>207</v>
      </c>
      <c r="C87" s="607"/>
      <c r="D87" s="607"/>
      <c r="E87" s="607"/>
      <c r="F87" s="607"/>
      <c r="G87" s="607"/>
      <c r="H87" s="607"/>
      <c r="I87" s="607"/>
      <c r="J87" s="608"/>
      <c r="K87" s="101"/>
      <c r="L87" s="102" t="e">
        <f>SUM(L82:L86)</f>
        <v>#REF!</v>
      </c>
    </row>
    <row r="88" spans="2:13">
      <c r="B88" s="25"/>
      <c r="C88" s="25"/>
      <c r="D88" s="25"/>
      <c r="E88" s="25"/>
      <c r="F88" s="25"/>
      <c r="G88" s="25"/>
      <c r="H88" s="25"/>
      <c r="I88" s="71"/>
      <c r="J88" s="25"/>
      <c r="K88" s="25"/>
    </row>
    <row r="89" spans="2:13">
      <c r="B89" s="16"/>
      <c r="C89" s="16"/>
      <c r="D89" s="16"/>
      <c r="E89" s="16"/>
      <c r="F89" s="16"/>
      <c r="G89" s="16"/>
      <c r="H89" s="48"/>
      <c r="I89" s="48"/>
      <c r="J89" s="48"/>
      <c r="K89" s="48"/>
      <c r="L89" s="49"/>
    </row>
    <row r="90" spans="2:13">
      <c r="B90" s="611" t="s">
        <v>205</v>
      </c>
      <c r="C90" s="611"/>
      <c r="D90" s="611"/>
      <c r="E90" s="611"/>
      <c r="F90" s="611"/>
      <c r="G90" s="611"/>
      <c r="H90" s="611"/>
      <c r="I90" s="611"/>
      <c r="J90" s="611"/>
      <c r="K90" s="97"/>
      <c r="L90" s="98" t="str">
        <f>L5</f>
        <v>SERVENTE</v>
      </c>
    </row>
    <row r="91" spans="2:13">
      <c r="B91" s="69" t="s">
        <v>4</v>
      </c>
      <c r="C91" s="629" t="s">
        <v>206</v>
      </c>
      <c r="D91" s="629"/>
      <c r="E91" s="629"/>
      <c r="F91" s="629"/>
      <c r="G91" s="629"/>
      <c r="H91" s="629"/>
      <c r="I91" s="629"/>
      <c r="J91" s="629"/>
      <c r="K91" s="65">
        <v>0.05</v>
      </c>
      <c r="L91" s="28" t="e">
        <f>K91*L110</f>
        <v>#REF!</v>
      </c>
      <c r="M91" s="50"/>
    </row>
    <row r="92" spans="2:13">
      <c r="B92" s="69" t="s">
        <v>6</v>
      </c>
      <c r="C92" s="629" t="s">
        <v>32</v>
      </c>
      <c r="D92" s="629"/>
      <c r="E92" s="629"/>
      <c r="F92" s="629"/>
      <c r="G92" s="629"/>
      <c r="H92" s="629"/>
      <c r="I92" s="629"/>
      <c r="J92" s="629"/>
      <c r="K92" s="65">
        <v>6.8099999999999994E-2</v>
      </c>
      <c r="L92" s="28" t="e">
        <f>K92*L110</f>
        <v>#REF!</v>
      </c>
      <c r="M92" s="50"/>
    </row>
    <row r="93" spans="2:13">
      <c r="B93" s="645" t="s">
        <v>10</v>
      </c>
      <c r="C93" s="646" t="s">
        <v>33</v>
      </c>
      <c r="D93" s="647"/>
      <c r="E93" s="647"/>
      <c r="F93" s="647"/>
      <c r="G93" s="647"/>
      <c r="H93" s="647"/>
      <c r="I93" s="648"/>
      <c r="J93" s="649" t="e">
        <f>L110+L91+L92</f>
        <v>#REF!</v>
      </c>
      <c r="K93" s="650"/>
      <c r="L93" s="47"/>
    </row>
    <row r="94" spans="2:13">
      <c r="B94" s="645"/>
      <c r="C94" s="651" t="s">
        <v>34</v>
      </c>
      <c r="D94" s="652"/>
      <c r="E94" s="652"/>
      <c r="F94" s="653"/>
      <c r="G94" s="70"/>
      <c r="H94" s="70" t="s">
        <v>35</v>
      </c>
      <c r="I94" s="70"/>
      <c r="J94" s="654"/>
      <c r="K94" s="655"/>
      <c r="L94" s="47"/>
    </row>
    <row r="95" spans="2:13">
      <c r="B95" s="645"/>
      <c r="C95" s="642" t="s">
        <v>36</v>
      </c>
      <c r="D95" s="642"/>
      <c r="E95" s="642"/>
      <c r="F95" s="642"/>
      <c r="G95" s="68" t="s">
        <v>37</v>
      </c>
      <c r="H95" s="35">
        <v>1.6500000000000001E-2</v>
      </c>
      <c r="I95" s="656">
        <f>SUM(H95:H100)</f>
        <v>0.13250000000000001</v>
      </c>
      <c r="J95" s="643" t="e">
        <f t="shared" ref="J95:J100" si="2">ROUND($L$112*H95,2)</f>
        <v>#REF!</v>
      </c>
      <c r="K95" s="644"/>
      <c r="L95" s="671" t="e">
        <f>SUM(J95:K100)</f>
        <v>#REF!</v>
      </c>
    </row>
    <row r="96" spans="2:13">
      <c r="B96" s="645"/>
      <c r="C96" s="642"/>
      <c r="D96" s="642"/>
      <c r="E96" s="642"/>
      <c r="F96" s="642"/>
      <c r="G96" s="68" t="s">
        <v>38</v>
      </c>
      <c r="H96" s="35">
        <v>7.5999999999999998E-2</v>
      </c>
      <c r="I96" s="656"/>
      <c r="J96" s="643" t="e">
        <f t="shared" si="2"/>
        <v>#REF!</v>
      </c>
      <c r="K96" s="644"/>
      <c r="L96" s="672"/>
    </row>
    <row r="97" spans="2:12">
      <c r="B97" s="645"/>
      <c r="C97" s="642"/>
      <c r="D97" s="642"/>
      <c r="E97" s="642"/>
      <c r="F97" s="642"/>
      <c r="G97" s="68" t="s">
        <v>39</v>
      </c>
      <c r="H97" s="35">
        <v>0</v>
      </c>
      <c r="I97" s="656"/>
      <c r="J97" s="643" t="e">
        <f t="shared" si="2"/>
        <v>#REF!</v>
      </c>
      <c r="K97" s="644"/>
      <c r="L97" s="672"/>
    </row>
    <row r="98" spans="2:12">
      <c r="B98" s="645"/>
      <c r="C98" s="642" t="s">
        <v>40</v>
      </c>
      <c r="D98" s="642"/>
      <c r="E98" s="642"/>
      <c r="F98" s="642"/>
      <c r="G98" s="67" t="s">
        <v>41</v>
      </c>
      <c r="H98" s="35">
        <v>0.04</v>
      </c>
      <c r="I98" s="656"/>
      <c r="J98" s="643" t="e">
        <f t="shared" si="2"/>
        <v>#REF!</v>
      </c>
      <c r="K98" s="644"/>
      <c r="L98" s="672"/>
    </row>
    <row r="99" spans="2:12">
      <c r="B99" s="645"/>
      <c r="C99" s="642"/>
      <c r="D99" s="642"/>
      <c r="E99" s="642"/>
      <c r="F99" s="642"/>
      <c r="G99" s="67" t="s">
        <v>39</v>
      </c>
      <c r="H99" s="35">
        <v>0</v>
      </c>
      <c r="I99" s="656"/>
      <c r="J99" s="643" t="e">
        <f t="shared" si="2"/>
        <v>#REF!</v>
      </c>
      <c r="K99" s="644"/>
      <c r="L99" s="672"/>
    </row>
    <row r="100" spans="2:12">
      <c r="B100" s="645"/>
      <c r="C100" s="642" t="s">
        <v>42</v>
      </c>
      <c r="D100" s="642"/>
      <c r="E100" s="642"/>
      <c r="F100" s="642"/>
      <c r="G100" s="67"/>
      <c r="H100" s="35">
        <v>0</v>
      </c>
      <c r="I100" s="656"/>
      <c r="J100" s="643" t="e">
        <f t="shared" si="2"/>
        <v>#REF!</v>
      </c>
      <c r="K100" s="644"/>
      <c r="L100" s="673"/>
    </row>
    <row r="101" spans="2:12">
      <c r="B101" s="645" t="s">
        <v>43</v>
      </c>
      <c r="C101" s="645"/>
      <c r="D101" s="645"/>
      <c r="E101" s="645"/>
      <c r="F101" s="645"/>
      <c r="G101" s="645"/>
      <c r="H101" s="645"/>
      <c r="I101" s="645"/>
      <c r="J101" s="645"/>
      <c r="K101" s="645"/>
      <c r="L101" s="60" t="e">
        <f>L95+L92+L91</f>
        <v>#REF!</v>
      </c>
    </row>
    <row r="102" spans="2:12">
      <c r="B102" s="51"/>
      <c r="C102" s="51"/>
      <c r="D102" s="51"/>
      <c r="E102" s="51"/>
      <c r="F102" s="51"/>
      <c r="G102" s="51"/>
      <c r="H102" s="51"/>
      <c r="I102" s="52"/>
      <c r="J102" s="53"/>
      <c r="K102" s="51"/>
    </row>
    <row r="103" spans="2:12">
      <c r="B103" s="670" t="s">
        <v>44</v>
      </c>
      <c r="C103" s="670"/>
      <c r="D103" s="670"/>
      <c r="E103" s="670"/>
      <c r="F103" s="670"/>
      <c r="G103" s="670"/>
      <c r="H103" s="670"/>
      <c r="I103" s="670"/>
      <c r="J103" s="670"/>
      <c r="K103" s="670"/>
      <c r="L103" s="670"/>
    </row>
    <row r="104" spans="2:12">
      <c r="B104" s="665" t="s">
        <v>45</v>
      </c>
      <c r="C104" s="665"/>
      <c r="D104" s="665"/>
      <c r="E104" s="665"/>
      <c r="F104" s="665"/>
      <c r="G104" s="665"/>
      <c r="H104" s="665"/>
      <c r="I104" s="665"/>
      <c r="J104" s="665"/>
      <c r="K104" s="665"/>
      <c r="L104" s="7" t="str">
        <f>L5</f>
        <v>SERVENTE</v>
      </c>
    </row>
    <row r="105" spans="2:12">
      <c r="B105" s="69" t="s">
        <v>4</v>
      </c>
      <c r="C105" s="629" t="str">
        <f>B6</f>
        <v xml:space="preserve">MÓDULO 01 – Composição da Remuneração </v>
      </c>
      <c r="D105" s="629"/>
      <c r="E105" s="629"/>
      <c r="F105" s="629"/>
      <c r="G105" s="629"/>
      <c r="H105" s="629"/>
      <c r="I105" s="629"/>
      <c r="J105" s="629"/>
      <c r="K105" s="629"/>
      <c r="L105" s="54" t="e">
        <f>L17</f>
        <v>#REF!</v>
      </c>
    </row>
    <row r="106" spans="2:12">
      <c r="B106" s="69" t="s">
        <v>6</v>
      </c>
      <c r="C106" s="629" t="str">
        <f>B19</f>
        <v>MÓDULO 2 – ENCARGOS E BENEFÍCIOS ANUAIS, MENSAIS E DIÁRIOS</v>
      </c>
      <c r="D106" s="629"/>
      <c r="E106" s="629"/>
      <c r="F106" s="629"/>
      <c r="G106" s="629"/>
      <c r="H106" s="629"/>
      <c r="I106" s="629"/>
      <c r="J106" s="629"/>
      <c r="K106" s="629"/>
      <c r="L106" s="54" t="e">
        <f>L51</f>
        <v>#REF!</v>
      </c>
    </row>
    <row r="107" spans="2:12">
      <c r="B107" s="69" t="s">
        <v>10</v>
      </c>
      <c r="C107" s="629" t="str">
        <f>B53</f>
        <v>MÓDULO 3 – PROVISÃO PARA RESCISÃO</v>
      </c>
      <c r="D107" s="629"/>
      <c r="E107" s="629"/>
      <c r="F107" s="629"/>
      <c r="G107" s="629"/>
      <c r="H107" s="629"/>
      <c r="I107" s="629"/>
      <c r="J107" s="629"/>
      <c r="K107" s="629"/>
      <c r="L107" s="54" t="e">
        <f>L60</f>
        <v>#REF!</v>
      </c>
    </row>
    <row r="108" spans="2:12">
      <c r="B108" s="69" t="s">
        <v>12</v>
      </c>
      <c r="C108" s="629" t="str">
        <f>B62</f>
        <v>MÓDULO 4 – CUSTO DE REPOSIÇÃO DO PROFISSIONAL AUSENTE</v>
      </c>
      <c r="D108" s="629"/>
      <c r="E108" s="629"/>
      <c r="F108" s="629"/>
      <c r="G108" s="629"/>
      <c r="H108" s="629"/>
      <c r="I108" s="629"/>
      <c r="J108" s="629"/>
      <c r="K108" s="629"/>
      <c r="L108" s="54" t="e">
        <f>L79</f>
        <v>#REF!</v>
      </c>
    </row>
    <row r="109" spans="2:12">
      <c r="B109" s="90" t="s">
        <v>14</v>
      </c>
      <c r="C109" s="629" t="str">
        <f>B81</f>
        <v>MÓDULO 5 – INSUMOS DIVERSOS</v>
      </c>
      <c r="D109" s="629"/>
      <c r="E109" s="629"/>
      <c r="F109" s="629"/>
      <c r="G109" s="629"/>
      <c r="H109" s="629"/>
      <c r="I109" s="629"/>
      <c r="J109" s="629"/>
      <c r="K109" s="629"/>
      <c r="L109" s="54" t="e">
        <f>L87</f>
        <v>#REF!</v>
      </c>
    </row>
    <row r="110" spans="2:12">
      <c r="B110" s="665" t="s">
        <v>209</v>
      </c>
      <c r="C110" s="665"/>
      <c r="D110" s="665"/>
      <c r="E110" s="665"/>
      <c r="F110" s="665"/>
      <c r="G110" s="665"/>
      <c r="H110" s="665"/>
      <c r="I110" s="665"/>
      <c r="J110" s="665"/>
      <c r="K110" s="665"/>
      <c r="L110" s="61" t="e">
        <f>SUM(L105:L109)</f>
        <v>#REF!</v>
      </c>
    </row>
    <row r="111" spans="2:12">
      <c r="B111" s="69" t="s">
        <v>14</v>
      </c>
      <c r="C111" s="629" t="s">
        <v>46</v>
      </c>
      <c r="D111" s="629"/>
      <c r="E111" s="629"/>
      <c r="F111" s="629"/>
      <c r="G111" s="629"/>
      <c r="H111" s="629"/>
      <c r="I111" s="629"/>
      <c r="J111" s="629"/>
      <c r="K111" s="629"/>
      <c r="L111" s="55" t="e">
        <f>L112-L110</f>
        <v>#REF!</v>
      </c>
    </row>
    <row r="112" spans="2:12">
      <c r="B112" s="666" t="s">
        <v>47</v>
      </c>
      <c r="C112" s="666"/>
      <c r="D112" s="666"/>
      <c r="E112" s="666"/>
      <c r="F112" s="666"/>
      <c r="G112" s="666"/>
      <c r="H112" s="666"/>
      <c r="I112" s="666"/>
      <c r="J112" s="666"/>
      <c r="K112" s="666"/>
      <c r="L112" s="62" t="e">
        <f>ROUND(J93/(1-$I$95),2)</f>
        <v>#REF!</v>
      </c>
    </row>
    <row r="113" spans="6:12">
      <c r="K113" s="50"/>
    </row>
    <row r="115" spans="6:12">
      <c r="F115" s="667" t="s">
        <v>48</v>
      </c>
      <c r="G115" s="668"/>
      <c r="H115" s="668"/>
      <c r="I115" s="669"/>
      <c r="J115" s="1"/>
      <c r="L115" s="1"/>
    </row>
    <row r="116" spans="6:12">
      <c r="F116" s="667" t="s">
        <v>49</v>
      </c>
      <c r="G116" s="668"/>
      <c r="H116" s="669"/>
      <c r="I116" s="56" t="s">
        <v>9</v>
      </c>
      <c r="J116" s="1"/>
      <c r="L116" s="1"/>
    </row>
    <row r="117" spans="6:12">
      <c r="F117" s="57" t="s">
        <v>50</v>
      </c>
      <c r="G117" s="57"/>
      <c r="H117" s="58"/>
      <c r="I117" s="58">
        <f>K91</f>
        <v>0.05</v>
      </c>
      <c r="J117" s="1"/>
      <c r="L117" s="1"/>
    </row>
    <row r="118" spans="6:12">
      <c r="F118" s="659" t="s">
        <v>32</v>
      </c>
      <c r="G118" s="660"/>
      <c r="H118" s="661"/>
      <c r="I118" s="58">
        <f>K92</f>
        <v>6.8099999999999994E-2</v>
      </c>
      <c r="J118" s="1"/>
      <c r="L118" s="1"/>
    </row>
    <row r="119" spans="6:12">
      <c r="F119" s="57" t="s">
        <v>51</v>
      </c>
      <c r="G119" s="57"/>
      <c r="H119" s="58"/>
      <c r="I119" s="58">
        <f>I95</f>
        <v>0.13250000000000001</v>
      </c>
      <c r="J119" s="1"/>
      <c r="L119" s="1"/>
    </row>
    <row r="120" spans="6:12">
      <c r="F120" s="662" t="s">
        <v>52</v>
      </c>
      <c r="G120" s="663"/>
      <c r="H120" s="664"/>
      <c r="I120" s="58">
        <f>(1+I117)*(1+I118)/(1-I119)-1</f>
        <v>0.29280115273775253</v>
      </c>
      <c r="J120" s="1"/>
      <c r="L120" s="1"/>
    </row>
  </sheetData>
  <mergeCells count="126">
    <mergeCell ref="C12:I12"/>
    <mergeCell ref="C13:I13"/>
    <mergeCell ref="B25:J25"/>
    <mergeCell ref="C84:D84"/>
    <mergeCell ref="E84:I84"/>
    <mergeCell ref="J84:K84"/>
    <mergeCell ref="B2:L2"/>
    <mergeCell ref="B3:L4"/>
    <mergeCell ref="B6:L6"/>
    <mergeCell ref="C7:K7"/>
    <mergeCell ref="C9:E9"/>
    <mergeCell ref="F9:I9"/>
    <mergeCell ref="C8:K8"/>
    <mergeCell ref="C10:I10"/>
    <mergeCell ref="C11:I11"/>
    <mergeCell ref="C14:I14"/>
    <mergeCell ref="C15:K15"/>
    <mergeCell ref="C16:K16"/>
    <mergeCell ref="B17:K17"/>
    <mergeCell ref="C57:H57"/>
    <mergeCell ref="B53:J53"/>
    <mergeCell ref="C54:H54"/>
    <mergeCell ref="B52:L52"/>
    <mergeCell ref="C65:F65"/>
    <mergeCell ref="C58:H58"/>
    <mergeCell ref="I58:J58"/>
    <mergeCell ref="C59:H59"/>
    <mergeCell ref="C86:K86"/>
    <mergeCell ref="B19:K19"/>
    <mergeCell ref="B20:J20"/>
    <mergeCell ref="B23:J23"/>
    <mergeCell ref="C21:J21"/>
    <mergeCell ref="C22:J22"/>
    <mergeCell ref="B45:J45"/>
    <mergeCell ref="C26:J26"/>
    <mergeCell ref="C27:J27"/>
    <mergeCell ref="C44:K44"/>
    <mergeCell ref="C82:K82"/>
    <mergeCell ref="C83:D83"/>
    <mergeCell ref="E83:I83"/>
    <mergeCell ref="J83:K83"/>
    <mergeCell ref="B47:K47"/>
    <mergeCell ref="C48:J48"/>
    <mergeCell ref="C49:J49"/>
    <mergeCell ref="C50:J50"/>
    <mergeCell ref="B51:J51"/>
    <mergeCell ref="B60:J60"/>
    <mergeCell ref="C55:H55"/>
    <mergeCell ref="B36:J36"/>
    <mergeCell ref="C37:J37"/>
    <mergeCell ref="C38:J38"/>
    <mergeCell ref="C39:J39"/>
    <mergeCell ref="C40:J40"/>
    <mergeCell ref="C41:J41"/>
    <mergeCell ref="C42:J42"/>
    <mergeCell ref="C43:J43"/>
    <mergeCell ref="I57:J57"/>
    <mergeCell ref="I55:J55"/>
    <mergeCell ref="C56:H56"/>
    <mergeCell ref="I56:J56"/>
    <mergeCell ref="C28:J28"/>
    <mergeCell ref="C29:J29"/>
    <mergeCell ref="C30:J30"/>
    <mergeCell ref="C32:F32"/>
    <mergeCell ref="C33:J33"/>
    <mergeCell ref="C31:D31"/>
    <mergeCell ref="E31:F31"/>
    <mergeCell ref="G31:J31"/>
    <mergeCell ref="B34:J34"/>
    <mergeCell ref="B90:J90"/>
    <mergeCell ref="C100:F100"/>
    <mergeCell ref="J100:K100"/>
    <mergeCell ref="C92:J92"/>
    <mergeCell ref="B93:B100"/>
    <mergeCell ref="C93:I93"/>
    <mergeCell ref="J93:K93"/>
    <mergeCell ref="F118:H118"/>
    <mergeCell ref="F120:H120"/>
    <mergeCell ref="C108:K108"/>
    <mergeCell ref="B110:K110"/>
    <mergeCell ref="C111:K111"/>
    <mergeCell ref="B112:K112"/>
    <mergeCell ref="F115:I115"/>
    <mergeCell ref="F116:H116"/>
    <mergeCell ref="B101:K101"/>
    <mergeCell ref="B103:L103"/>
    <mergeCell ref="B104:K104"/>
    <mergeCell ref="C105:K105"/>
    <mergeCell ref="C106:K106"/>
    <mergeCell ref="C107:K107"/>
    <mergeCell ref="C109:K109"/>
    <mergeCell ref="I95:I100"/>
    <mergeCell ref="J95:K95"/>
    <mergeCell ref="C91:J91"/>
    <mergeCell ref="L95:L100"/>
    <mergeCell ref="J96:K96"/>
    <mergeCell ref="J97:K97"/>
    <mergeCell ref="C98:F99"/>
    <mergeCell ref="J98:K98"/>
    <mergeCell ref="J99:K99"/>
    <mergeCell ref="C94:F94"/>
    <mergeCell ref="J94:K94"/>
    <mergeCell ref="C95:F97"/>
    <mergeCell ref="I59:J59"/>
    <mergeCell ref="G67:H67"/>
    <mergeCell ref="C67:E67"/>
    <mergeCell ref="C68:E68"/>
    <mergeCell ref="B70:J70"/>
    <mergeCell ref="B63:J63"/>
    <mergeCell ref="B87:J87"/>
    <mergeCell ref="B62:J62"/>
    <mergeCell ref="C64:J64"/>
    <mergeCell ref="G68:H68"/>
    <mergeCell ref="C69:J69"/>
    <mergeCell ref="B72:J72"/>
    <mergeCell ref="C73:J73"/>
    <mergeCell ref="G65:I65"/>
    <mergeCell ref="C66:F66"/>
    <mergeCell ref="G66:H66"/>
    <mergeCell ref="C78:J78"/>
    <mergeCell ref="B74:J74"/>
    <mergeCell ref="B76:K76"/>
    <mergeCell ref="C77:J77"/>
    <mergeCell ref="B79:J79"/>
    <mergeCell ref="B80:L80"/>
    <mergeCell ref="B81:J81"/>
  </mergeCells>
  <pageMargins left="0.511811024" right="0.511811024" top="0.78740157499999996" bottom="0.78740157499999996" header="0.31496062000000002" footer="0.31496062000000002"/>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T120"/>
  <sheetViews>
    <sheetView workbookViewId="0">
      <selection activeCell="G85" sqref="G85"/>
    </sheetView>
  </sheetViews>
  <sheetFormatPr defaultColWidth="11.85546875" defaultRowHeight="15"/>
  <cols>
    <col min="1" max="1" width="6.28515625" style="1" customWidth="1"/>
    <col min="2" max="2" width="4.5703125" style="1" customWidth="1"/>
    <col min="3" max="3" width="9" style="1" customWidth="1"/>
    <col min="4" max="4" width="25" style="1" customWidth="1"/>
    <col min="5" max="5" width="4.7109375" style="1" bestFit="1" customWidth="1"/>
    <col min="6" max="6" width="9" style="1" bestFit="1" customWidth="1"/>
    <col min="7" max="7" width="10.42578125" style="1" customWidth="1"/>
    <col min="8" max="8" width="10.7109375" style="1" customWidth="1"/>
    <col min="9" max="9" width="16.7109375" style="32" customWidth="1"/>
    <col min="10" max="10" width="9" style="33" bestFit="1" customWidth="1"/>
    <col min="11" max="11" width="9.140625" style="1" bestFit="1" customWidth="1"/>
    <col min="12" max="12" width="12.7109375" style="18" bestFit="1" customWidth="1"/>
    <col min="13" max="13" width="13.28515625" style="1" bestFit="1" customWidth="1"/>
    <col min="14" max="16384" width="11.85546875" style="1"/>
  </cols>
  <sheetData>
    <row r="2" spans="2:13">
      <c r="B2" s="622" t="s">
        <v>2</v>
      </c>
      <c r="C2" s="622"/>
      <c r="D2" s="622"/>
      <c r="E2" s="622"/>
      <c r="F2" s="622"/>
      <c r="G2" s="622"/>
      <c r="H2" s="622"/>
      <c r="I2" s="622"/>
      <c r="J2" s="622"/>
      <c r="K2" s="622"/>
      <c r="L2" s="622"/>
    </row>
    <row r="3" spans="2:13" s="2" customFormat="1">
      <c r="B3" s="623" t="e">
        <f>#REF!</f>
        <v>#REF!</v>
      </c>
      <c r="C3" s="624"/>
      <c r="D3" s="624"/>
      <c r="E3" s="624"/>
      <c r="F3" s="624"/>
      <c r="G3" s="624"/>
      <c r="H3" s="624"/>
      <c r="I3" s="624"/>
      <c r="J3" s="624"/>
      <c r="K3" s="624"/>
      <c r="L3" s="625"/>
    </row>
    <row r="4" spans="2:13" s="2" customFormat="1">
      <c r="B4" s="626"/>
      <c r="C4" s="627"/>
      <c r="D4" s="627"/>
      <c r="E4" s="627"/>
      <c r="F4" s="627"/>
      <c r="G4" s="627"/>
      <c r="H4" s="627"/>
      <c r="I4" s="627"/>
      <c r="J4" s="627"/>
      <c r="K4" s="627"/>
      <c r="L4" s="628"/>
    </row>
    <row r="5" spans="2:13">
      <c r="B5" s="3"/>
      <c r="C5" s="4"/>
      <c r="D5" s="4"/>
      <c r="E5" s="4"/>
      <c r="F5" s="4"/>
      <c r="G5" s="4"/>
      <c r="H5" s="4"/>
      <c r="I5" s="5"/>
      <c r="J5" s="4"/>
      <c r="K5" s="6"/>
      <c r="L5" s="7" t="s">
        <v>53</v>
      </c>
    </row>
    <row r="6" spans="2:13">
      <c r="B6" s="611" t="s">
        <v>3</v>
      </c>
      <c r="C6" s="611"/>
      <c r="D6" s="611"/>
      <c r="E6" s="611"/>
      <c r="F6" s="611"/>
      <c r="G6" s="611"/>
      <c r="H6" s="611"/>
      <c r="I6" s="611"/>
      <c r="J6" s="611"/>
      <c r="K6" s="611"/>
      <c r="L6" s="611"/>
    </row>
    <row r="7" spans="2:13">
      <c r="B7" s="69" t="s">
        <v>4</v>
      </c>
      <c r="C7" s="629" t="s">
        <v>5</v>
      </c>
      <c r="D7" s="629"/>
      <c r="E7" s="629"/>
      <c r="F7" s="629"/>
      <c r="G7" s="629"/>
      <c r="H7" s="629"/>
      <c r="I7" s="629"/>
      <c r="J7" s="629"/>
      <c r="K7" s="629"/>
      <c r="L7" s="9" t="e">
        <f>#REF!</f>
        <v>#REF!</v>
      </c>
    </row>
    <row r="8" spans="2:13">
      <c r="B8" s="79" t="s">
        <v>154</v>
      </c>
      <c r="C8" s="629" t="s">
        <v>155</v>
      </c>
      <c r="D8" s="629"/>
      <c r="E8" s="629"/>
      <c r="F8" s="629"/>
      <c r="G8" s="629"/>
      <c r="H8" s="629"/>
      <c r="I8" s="629"/>
      <c r="J8" s="629"/>
      <c r="K8" s="629"/>
      <c r="L8" s="9"/>
    </row>
    <row r="9" spans="2:13">
      <c r="B9" s="69" t="s">
        <v>6</v>
      </c>
      <c r="C9" s="629" t="s">
        <v>7</v>
      </c>
      <c r="D9" s="629"/>
      <c r="E9" s="629"/>
      <c r="F9" s="617" t="s">
        <v>8</v>
      </c>
      <c r="G9" s="617"/>
      <c r="H9" s="617"/>
      <c r="I9" s="617"/>
      <c r="J9" s="10" t="s">
        <v>9</v>
      </c>
      <c r="K9" s="11">
        <v>0.3</v>
      </c>
      <c r="L9" s="12" t="e">
        <f>K9*L7</f>
        <v>#REF!</v>
      </c>
      <c r="M9" s="13"/>
    </row>
    <row r="10" spans="2:13">
      <c r="B10" s="90" t="s">
        <v>10</v>
      </c>
      <c r="C10" s="603" t="s">
        <v>160</v>
      </c>
      <c r="D10" s="604"/>
      <c r="E10" s="604"/>
      <c r="F10" s="604"/>
      <c r="G10" s="604"/>
      <c r="H10" s="604"/>
      <c r="I10" s="605"/>
      <c r="J10" s="10" t="s">
        <v>9</v>
      </c>
      <c r="K10" s="11">
        <v>0</v>
      </c>
      <c r="L10" s="12">
        <f>K10*L8</f>
        <v>0</v>
      </c>
      <c r="M10" s="13"/>
    </row>
    <row r="11" spans="2:13">
      <c r="B11" s="90" t="s">
        <v>12</v>
      </c>
      <c r="C11" s="603" t="s">
        <v>157</v>
      </c>
      <c r="D11" s="604"/>
      <c r="E11" s="604"/>
      <c r="F11" s="604"/>
      <c r="G11" s="604"/>
      <c r="H11" s="604"/>
      <c r="I11" s="605"/>
      <c r="J11" s="10" t="s">
        <v>9</v>
      </c>
      <c r="K11" s="11">
        <v>0</v>
      </c>
      <c r="L11" s="12" t="e">
        <f>K11*L9</f>
        <v>#REF!</v>
      </c>
      <c r="M11" s="13"/>
    </row>
    <row r="12" spans="2:13">
      <c r="B12" s="90" t="s">
        <v>14</v>
      </c>
      <c r="C12" s="603" t="s">
        <v>158</v>
      </c>
      <c r="D12" s="604"/>
      <c r="E12" s="604"/>
      <c r="F12" s="604"/>
      <c r="G12" s="604"/>
      <c r="H12" s="604"/>
      <c r="I12" s="605"/>
      <c r="J12" s="10" t="s">
        <v>9</v>
      </c>
      <c r="K12" s="11">
        <v>0</v>
      </c>
      <c r="L12" s="12">
        <f>K12*L10</f>
        <v>0</v>
      </c>
      <c r="M12" s="13"/>
    </row>
    <row r="13" spans="2:13">
      <c r="B13" s="90" t="s">
        <v>1</v>
      </c>
      <c r="C13" s="603" t="s">
        <v>159</v>
      </c>
      <c r="D13" s="604"/>
      <c r="E13" s="604"/>
      <c r="F13" s="604"/>
      <c r="G13" s="604"/>
      <c r="H13" s="604"/>
      <c r="I13" s="605"/>
      <c r="J13" s="10" t="s">
        <v>9</v>
      </c>
      <c r="K13" s="11">
        <v>0</v>
      </c>
      <c r="L13" s="12" t="e">
        <f>K13*L11</f>
        <v>#REF!</v>
      </c>
      <c r="M13" s="13"/>
    </row>
    <row r="14" spans="2:13">
      <c r="B14" s="90" t="s">
        <v>15</v>
      </c>
      <c r="C14" s="618" t="s">
        <v>11</v>
      </c>
      <c r="D14" s="618"/>
      <c r="E14" s="618"/>
      <c r="F14" s="618"/>
      <c r="G14" s="618"/>
      <c r="H14" s="618"/>
      <c r="I14" s="618"/>
      <c r="J14" s="10" t="s">
        <v>9</v>
      </c>
      <c r="K14" s="14">
        <v>0</v>
      </c>
      <c r="L14" s="12">
        <v>0</v>
      </c>
      <c r="M14" s="13"/>
    </row>
    <row r="15" spans="2:13">
      <c r="B15" s="90" t="s">
        <v>16</v>
      </c>
      <c r="C15" s="619" t="s">
        <v>13</v>
      </c>
      <c r="D15" s="619"/>
      <c r="E15" s="619"/>
      <c r="F15" s="619"/>
      <c r="G15" s="619"/>
      <c r="H15" s="619"/>
      <c r="I15" s="619"/>
      <c r="J15" s="619"/>
      <c r="K15" s="619"/>
      <c r="L15" s="12">
        <v>0</v>
      </c>
      <c r="M15" s="13"/>
    </row>
    <row r="16" spans="2:13">
      <c r="B16" s="90" t="s">
        <v>156</v>
      </c>
      <c r="C16" s="620" t="s">
        <v>0</v>
      </c>
      <c r="D16" s="620"/>
      <c r="E16" s="620"/>
      <c r="F16" s="620"/>
      <c r="G16" s="620"/>
      <c r="H16" s="620"/>
      <c r="I16" s="620"/>
      <c r="J16" s="620"/>
      <c r="K16" s="620"/>
      <c r="L16" s="12"/>
      <c r="M16" s="13"/>
    </row>
    <row r="17" spans="2:13">
      <c r="B17" s="621" t="s">
        <v>208</v>
      </c>
      <c r="C17" s="621"/>
      <c r="D17" s="621"/>
      <c r="E17" s="621"/>
      <c r="F17" s="621"/>
      <c r="G17" s="621"/>
      <c r="H17" s="621"/>
      <c r="I17" s="621"/>
      <c r="J17" s="621"/>
      <c r="K17" s="621"/>
      <c r="L17" s="100" t="e">
        <f>SUM(L7:L16)</f>
        <v>#REF!</v>
      </c>
      <c r="M17" s="15"/>
    </row>
    <row r="18" spans="2:13">
      <c r="B18" s="16"/>
      <c r="C18" s="16"/>
      <c r="D18" s="16"/>
      <c r="E18" s="16"/>
      <c r="F18" s="16"/>
      <c r="G18" s="16"/>
      <c r="H18" s="16"/>
      <c r="I18" s="17"/>
      <c r="J18" s="16"/>
      <c r="K18" s="16"/>
    </row>
    <row r="19" spans="2:13">
      <c r="B19" s="611" t="s">
        <v>161</v>
      </c>
      <c r="C19" s="611"/>
      <c r="D19" s="611"/>
      <c r="E19" s="611"/>
      <c r="F19" s="611"/>
      <c r="G19" s="611"/>
      <c r="H19" s="611"/>
      <c r="I19" s="611"/>
      <c r="J19" s="611"/>
      <c r="K19" s="611"/>
      <c r="L19" s="7" t="str">
        <f>L5</f>
        <v>SERVENTE</v>
      </c>
    </row>
    <row r="20" spans="2:13">
      <c r="B20" s="612" t="s">
        <v>162</v>
      </c>
      <c r="C20" s="613"/>
      <c r="D20" s="613"/>
      <c r="E20" s="613"/>
      <c r="F20" s="613"/>
      <c r="G20" s="613"/>
      <c r="H20" s="613"/>
      <c r="I20" s="613"/>
      <c r="J20" s="613"/>
      <c r="K20" s="92" t="s">
        <v>9</v>
      </c>
      <c r="L20" s="12" t="s">
        <v>166</v>
      </c>
    </row>
    <row r="21" spans="2:13">
      <c r="B21" s="90" t="s">
        <v>4</v>
      </c>
      <c r="C21" s="603" t="s">
        <v>163</v>
      </c>
      <c r="D21" s="604"/>
      <c r="E21" s="604"/>
      <c r="F21" s="604"/>
      <c r="G21" s="604"/>
      <c r="H21" s="604"/>
      <c r="I21" s="604"/>
      <c r="J21" s="605"/>
      <c r="K21" s="34">
        <v>8.3299999999999999E-2</v>
      </c>
      <c r="L21" s="12" t="e">
        <f>K21*L17</f>
        <v>#REF!</v>
      </c>
    </row>
    <row r="22" spans="2:13">
      <c r="B22" s="90" t="s">
        <v>6</v>
      </c>
      <c r="C22" s="603" t="s">
        <v>164</v>
      </c>
      <c r="D22" s="604"/>
      <c r="E22" s="604"/>
      <c r="F22" s="604"/>
      <c r="G22" s="604"/>
      <c r="H22" s="604"/>
      <c r="I22" s="604"/>
      <c r="J22" s="605"/>
      <c r="K22" s="34">
        <v>2.7799999999999998E-2</v>
      </c>
      <c r="L22" s="12" t="e">
        <f>K22*L17</f>
        <v>#REF!</v>
      </c>
    </row>
    <row r="23" spans="2:13">
      <c r="B23" s="614" t="s">
        <v>165</v>
      </c>
      <c r="C23" s="615"/>
      <c r="D23" s="615"/>
      <c r="E23" s="615"/>
      <c r="F23" s="615"/>
      <c r="G23" s="615"/>
      <c r="H23" s="615"/>
      <c r="I23" s="615"/>
      <c r="J23" s="616"/>
      <c r="K23" s="34">
        <f>SUM(K21:K22)</f>
        <v>0.1111</v>
      </c>
      <c r="L23" s="12" t="e">
        <f>SUM(L21:L22)</f>
        <v>#REF!</v>
      </c>
    </row>
    <row r="24" spans="2:13">
      <c r="B24" s="93"/>
      <c r="C24" s="94"/>
      <c r="D24" s="94"/>
      <c r="E24" s="94"/>
      <c r="F24" s="94"/>
      <c r="G24" s="94"/>
      <c r="H24" s="94"/>
      <c r="I24" s="94"/>
      <c r="J24" s="95"/>
      <c r="K24" s="34"/>
      <c r="L24" s="12"/>
    </row>
    <row r="25" spans="2:13">
      <c r="B25" s="612" t="s">
        <v>167</v>
      </c>
      <c r="C25" s="613"/>
      <c r="D25" s="613"/>
      <c r="E25" s="613"/>
      <c r="F25" s="613"/>
      <c r="G25" s="613"/>
      <c r="H25" s="613"/>
      <c r="I25" s="613"/>
      <c r="J25" s="613"/>
      <c r="K25" s="92" t="s">
        <v>9</v>
      </c>
      <c r="L25" s="12" t="s">
        <v>166</v>
      </c>
    </row>
    <row r="26" spans="2:13">
      <c r="B26" s="74" t="s">
        <v>4</v>
      </c>
      <c r="C26" s="617" t="s">
        <v>17</v>
      </c>
      <c r="D26" s="617"/>
      <c r="E26" s="617"/>
      <c r="F26" s="617"/>
      <c r="G26" s="617"/>
      <c r="H26" s="617"/>
      <c r="I26" s="617"/>
      <c r="J26" s="617"/>
      <c r="K26" s="27">
        <v>0.2</v>
      </c>
      <c r="L26" s="28" t="e">
        <f>ROUND($K$26*L17,2)</f>
        <v>#REF!</v>
      </c>
    </row>
    <row r="27" spans="2:13">
      <c r="B27" s="74" t="s">
        <v>6</v>
      </c>
      <c r="C27" s="617" t="s">
        <v>18</v>
      </c>
      <c r="D27" s="617"/>
      <c r="E27" s="617"/>
      <c r="F27" s="617"/>
      <c r="G27" s="617"/>
      <c r="H27" s="617"/>
      <c r="I27" s="617"/>
      <c r="J27" s="617"/>
      <c r="K27" s="27">
        <v>1.4999999999999999E-2</v>
      </c>
      <c r="L27" s="28" t="e">
        <f>ROUND($K$27*L17,2)</f>
        <v>#REF!</v>
      </c>
    </row>
    <row r="28" spans="2:13">
      <c r="B28" s="74" t="s">
        <v>10</v>
      </c>
      <c r="C28" s="617" t="s">
        <v>19</v>
      </c>
      <c r="D28" s="617"/>
      <c r="E28" s="617"/>
      <c r="F28" s="617"/>
      <c r="G28" s="617"/>
      <c r="H28" s="617"/>
      <c r="I28" s="617"/>
      <c r="J28" s="617"/>
      <c r="K28" s="27">
        <v>0.01</v>
      </c>
      <c r="L28" s="28" t="e">
        <f>ROUND(K28*$L$17,2)</f>
        <v>#REF!</v>
      </c>
    </row>
    <row r="29" spans="2:13">
      <c r="B29" s="74" t="s">
        <v>12</v>
      </c>
      <c r="C29" s="617" t="s">
        <v>20</v>
      </c>
      <c r="D29" s="617"/>
      <c r="E29" s="617"/>
      <c r="F29" s="617"/>
      <c r="G29" s="617"/>
      <c r="H29" s="617"/>
      <c r="I29" s="617"/>
      <c r="J29" s="617"/>
      <c r="K29" s="27">
        <v>2E-3</v>
      </c>
      <c r="L29" s="28" t="e">
        <f>ROUND(K29*$L$17,2)</f>
        <v>#REF!</v>
      </c>
    </row>
    <row r="30" spans="2:13">
      <c r="B30" s="74" t="s">
        <v>14</v>
      </c>
      <c r="C30" s="617" t="s">
        <v>21</v>
      </c>
      <c r="D30" s="617"/>
      <c r="E30" s="617"/>
      <c r="F30" s="617"/>
      <c r="G30" s="617"/>
      <c r="H30" s="617"/>
      <c r="I30" s="617"/>
      <c r="J30" s="617"/>
      <c r="K30" s="27">
        <v>2.5000000000000001E-2</v>
      </c>
      <c r="L30" s="28" t="e">
        <f>ROUND(K30*$L$17,2)</f>
        <v>#REF!</v>
      </c>
      <c r="M30" s="29"/>
    </row>
    <row r="31" spans="2:13">
      <c r="B31" s="74" t="s">
        <v>1</v>
      </c>
      <c r="C31" s="603" t="s">
        <v>153</v>
      </c>
      <c r="D31" s="605"/>
      <c r="E31" s="638">
        <v>0.08</v>
      </c>
      <c r="F31" s="639"/>
      <c r="G31" s="603" t="s">
        <v>152</v>
      </c>
      <c r="H31" s="604"/>
      <c r="I31" s="604"/>
      <c r="J31" s="605"/>
      <c r="K31" s="27">
        <f>E31*(1+(1/12)+(1/12/3))</f>
        <v>8.8888888888888878E-2</v>
      </c>
      <c r="L31" s="28" t="e">
        <f>ROUND(K31*($L$17+(1/3/12*L17)+(1/12*L17)),2)</f>
        <v>#REF!</v>
      </c>
      <c r="M31" s="1" t="s">
        <v>168</v>
      </c>
    </row>
    <row r="32" spans="2:13">
      <c r="B32" s="74" t="s">
        <v>15</v>
      </c>
      <c r="C32" s="617" t="s">
        <v>22</v>
      </c>
      <c r="D32" s="617"/>
      <c r="E32" s="617"/>
      <c r="F32" s="617"/>
      <c r="G32" s="73" t="s">
        <v>23</v>
      </c>
      <c r="H32" s="30">
        <v>0.03</v>
      </c>
      <c r="I32" s="73" t="s">
        <v>24</v>
      </c>
      <c r="J32" s="63">
        <v>1</v>
      </c>
      <c r="K32" s="31">
        <f>H32*J32</f>
        <v>0.03</v>
      </c>
      <c r="L32" s="28" t="e">
        <f>ROUND(K32*$L$17,2)</f>
        <v>#REF!</v>
      </c>
    </row>
    <row r="33" spans="2:20">
      <c r="B33" s="74" t="s">
        <v>16</v>
      </c>
      <c r="C33" s="617" t="s">
        <v>25</v>
      </c>
      <c r="D33" s="617"/>
      <c r="E33" s="617"/>
      <c r="F33" s="617"/>
      <c r="G33" s="617"/>
      <c r="H33" s="617"/>
      <c r="I33" s="617"/>
      <c r="J33" s="617"/>
      <c r="K33" s="27">
        <v>6.0000000000000001E-3</v>
      </c>
      <c r="L33" s="28" t="e">
        <f>ROUND(K33*$L$17,2)</f>
        <v>#REF!</v>
      </c>
      <c r="M33" s="2"/>
      <c r="N33" s="2"/>
      <c r="O33" s="2"/>
      <c r="P33" s="2"/>
      <c r="Q33" s="2"/>
      <c r="R33" s="2"/>
      <c r="S33" s="2"/>
      <c r="T33" s="2"/>
    </row>
    <row r="34" spans="2:20">
      <c r="B34" s="614" t="s">
        <v>169</v>
      </c>
      <c r="C34" s="615"/>
      <c r="D34" s="615"/>
      <c r="E34" s="615"/>
      <c r="F34" s="615"/>
      <c r="G34" s="615"/>
      <c r="H34" s="615"/>
      <c r="I34" s="615"/>
      <c r="J34" s="616"/>
      <c r="K34" s="34">
        <f>SUM(K26:K33)</f>
        <v>0.37688888888888894</v>
      </c>
      <c r="L34" s="12" t="e">
        <f>SUM(L26:L33)</f>
        <v>#REF!</v>
      </c>
      <c r="M34" s="2"/>
      <c r="N34" s="2"/>
      <c r="O34" s="2"/>
      <c r="P34" s="2"/>
      <c r="Q34" s="2"/>
      <c r="R34" s="2"/>
      <c r="S34" s="2"/>
      <c r="T34" s="2"/>
    </row>
    <row r="35" spans="2:20">
      <c r="B35" s="93"/>
      <c r="C35" s="94"/>
      <c r="D35" s="94"/>
      <c r="E35" s="94"/>
      <c r="F35" s="94"/>
      <c r="G35" s="94"/>
      <c r="H35" s="94"/>
      <c r="I35" s="94"/>
      <c r="J35" s="95"/>
      <c r="K35" s="34"/>
      <c r="L35" s="12"/>
      <c r="M35" s="2"/>
      <c r="N35" s="2"/>
      <c r="O35" s="2"/>
      <c r="P35" s="2"/>
      <c r="Q35" s="2"/>
      <c r="R35" s="2"/>
      <c r="S35" s="2"/>
      <c r="T35" s="2"/>
    </row>
    <row r="36" spans="2:20">
      <c r="B36" s="612" t="s">
        <v>170</v>
      </c>
      <c r="C36" s="613"/>
      <c r="D36" s="613"/>
      <c r="E36" s="613"/>
      <c r="F36" s="613"/>
      <c r="G36" s="613"/>
      <c r="H36" s="613"/>
      <c r="I36" s="613"/>
      <c r="J36" s="613"/>
      <c r="K36" s="92"/>
      <c r="L36" s="12" t="s">
        <v>166</v>
      </c>
    </row>
    <row r="37" spans="2:20">
      <c r="B37" s="69" t="s">
        <v>4</v>
      </c>
      <c r="C37" s="603" t="e">
        <f>#REF!</f>
        <v>#REF!</v>
      </c>
      <c r="D37" s="604"/>
      <c r="E37" s="604"/>
      <c r="F37" s="604"/>
      <c r="G37" s="604"/>
      <c r="H37" s="604"/>
      <c r="I37" s="604"/>
      <c r="J37" s="605"/>
      <c r="K37" s="80"/>
      <c r="L37" s="12" t="e">
        <f>#REF!</f>
        <v>#REF!</v>
      </c>
    </row>
    <row r="38" spans="2:20">
      <c r="B38" s="69" t="s">
        <v>6</v>
      </c>
      <c r="C38" s="603" t="e">
        <f>#REF!</f>
        <v>#REF!</v>
      </c>
      <c r="D38" s="604"/>
      <c r="E38" s="604"/>
      <c r="F38" s="604"/>
      <c r="G38" s="604"/>
      <c r="H38" s="604"/>
      <c r="I38" s="604"/>
      <c r="J38" s="605"/>
      <c r="K38" s="80"/>
      <c r="L38" s="12" t="e">
        <f>#REF!</f>
        <v>#REF!</v>
      </c>
    </row>
    <row r="39" spans="2:20">
      <c r="B39" s="69" t="s">
        <v>10</v>
      </c>
      <c r="C39" s="603" t="e">
        <f>#REF!</f>
        <v>#REF!</v>
      </c>
      <c r="D39" s="604"/>
      <c r="E39" s="604"/>
      <c r="F39" s="604"/>
      <c r="G39" s="604"/>
      <c r="H39" s="604"/>
      <c r="I39" s="604"/>
      <c r="J39" s="605"/>
      <c r="K39" s="80"/>
      <c r="L39" s="12" t="e">
        <f>#REF!</f>
        <v>#REF!</v>
      </c>
    </row>
    <row r="40" spans="2:20">
      <c r="B40" s="79" t="s">
        <v>12</v>
      </c>
      <c r="C40" s="603" t="e">
        <f>#REF!</f>
        <v>#REF!</v>
      </c>
      <c r="D40" s="604"/>
      <c r="E40" s="604"/>
      <c r="F40" s="604"/>
      <c r="G40" s="604"/>
      <c r="H40" s="604"/>
      <c r="I40" s="604"/>
      <c r="J40" s="605"/>
      <c r="K40" s="80"/>
      <c r="L40" s="12" t="e">
        <f>#REF!</f>
        <v>#REF!</v>
      </c>
    </row>
    <row r="41" spans="2:20">
      <c r="B41" s="79" t="s">
        <v>14</v>
      </c>
      <c r="C41" s="603" t="e">
        <f>#REF!</f>
        <v>#REF!</v>
      </c>
      <c r="D41" s="604"/>
      <c r="E41" s="604"/>
      <c r="F41" s="604"/>
      <c r="G41" s="604"/>
      <c r="H41" s="604"/>
      <c r="I41" s="604"/>
      <c r="J41" s="605"/>
      <c r="K41" s="81"/>
      <c r="L41" s="12" t="e">
        <f>#REF!</f>
        <v>#REF!</v>
      </c>
    </row>
    <row r="42" spans="2:20">
      <c r="B42" s="79" t="s">
        <v>1</v>
      </c>
      <c r="C42" s="603" t="e">
        <f>#REF!</f>
        <v>#REF!</v>
      </c>
      <c r="D42" s="604"/>
      <c r="E42" s="604"/>
      <c r="F42" s="604"/>
      <c r="G42" s="604"/>
      <c r="H42" s="604"/>
      <c r="I42" s="604"/>
      <c r="J42" s="605"/>
      <c r="K42" s="82"/>
      <c r="L42" s="12" t="e">
        <f>#REF!</f>
        <v>#REF!</v>
      </c>
    </row>
    <row r="43" spans="2:20">
      <c r="B43" s="79" t="s">
        <v>15</v>
      </c>
      <c r="C43" s="603" t="e">
        <f>#REF!</f>
        <v>#REF!</v>
      </c>
      <c r="D43" s="604"/>
      <c r="E43" s="604"/>
      <c r="F43" s="604"/>
      <c r="G43" s="604"/>
      <c r="H43" s="604"/>
      <c r="I43" s="604"/>
      <c r="J43" s="605"/>
      <c r="K43" s="82"/>
      <c r="L43" s="12" t="e">
        <f>#REF!</f>
        <v>#REF!</v>
      </c>
    </row>
    <row r="44" spans="2:20">
      <c r="B44" s="79" t="s">
        <v>16</v>
      </c>
      <c r="C44" s="620" t="s">
        <v>0</v>
      </c>
      <c r="D44" s="620"/>
      <c r="E44" s="620"/>
      <c r="F44" s="620"/>
      <c r="G44" s="620"/>
      <c r="H44" s="620"/>
      <c r="I44" s="620"/>
      <c r="J44" s="620"/>
      <c r="K44" s="620"/>
      <c r="L44" s="19">
        <v>0</v>
      </c>
    </row>
    <row r="45" spans="2:20">
      <c r="B45" s="614" t="s">
        <v>172</v>
      </c>
      <c r="C45" s="615"/>
      <c r="D45" s="615"/>
      <c r="E45" s="615"/>
      <c r="F45" s="615"/>
      <c r="G45" s="615"/>
      <c r="H45" s="615"/>
      <c r="I45" s="615"/>
      <c r="J45" s="616"/>
      <c r="K45" s="34"/>
      <c r="L45" s="12" t="e">
        <f>SUM(L37:L44)</f>
        <v>#REF!</v>
      </c>
    </row>
    <row r="46" spans="2:20">
      <c r="B46" s="93"/>
      <c r="C46" s="94"/>
      <c r="D46" s="94"/>
      <c r="E46" s="94"/>
      <c r="F46" s="94"/>
      <c r="G46" s="94"/>
      <c r="H46" s="94"/>
      <c r="I46" s="94"/>
      <c r="J46" s="95"/>
      <c r="K46" s="34"/>
      <c r="L46" s="12"/>
    </row>
    <row r="47" spans="2:20">
      <c r="B47" s="602" t="s">
        <v>173</v>
      </c>
      <c r="C47" s="602"/>
      <c r="D47" s="602"/>
      <c r="E47" s="602"/>
      <c r="F47" s="602"/>
      <c r="G47" s="602"/>
      <c r="H47" s="602"/>
      <c r="I47" s="602"/>
      <c r="J47" s="602"/>
      <c r="K47" s="602"/>
      <c r="L47" s="7" t="str">
        <f>L5</f>
        <v>SERVENTE</v>
      </c>
    </row>
    <row r="48" spans="2:20">
      <c r="B48" s="90" t="s">
        <v>174</v>
      </c>
      <c r="C48" s="603" t="s">
        <v>177</v>
      </c>
      <c r="D48" s="604"/>
      <c r="E48" s="604"/>
      <c r="F48" s="604"/>
      <c r="G48" s="604"/>
      <c r="H48" s="604"/>
      <c r="I48" s="604"/>
      <c r="J48" s="605"/>
      <c r="K48" s="80"/>
      <c r="L48" s="12" t="e">
        <f>L23</f>
        <v>#REF!</v>
      </c>
    </row>
    <row r="49" spans="2:12">
      <c r="B49" s="90" t="s">
        <v>175</v>
      </c>
      <c r="C49" s="603" t="s">
        <v>178</v>
      </c>
      <c r="D49" s="604"/>
      <c r="E49" s="604"/>
      <c r="F49" s="604"/>
      <c r="G49" s="604"/>
      <c r="H49" s="604"/>
      <c r="I49" s="604"/>
      <c r="J49" s="605"/>
      <c r="K49" s="80"/>
      <c r="L49" s="12" t="e">
        <f>L34</f>
        <v>#REF!</v>
      </c>
    </row>
    <row r="50" spans="2:12">
      <c r="B50" s="90" t="s">
        <v>176</v>
      </c>
      <c r="C50" s="603" t="s">
        <v>180</v>
      </c>
      <c r="D50" s="604"/>
      <c r="E50" s="604"/>
      <c r="F50" s="604"/>
      <c r="G50" s="604"/>
      <c r="H50" s="604"/>
      <c r="I50" s="604"/>
      <c r="J50" s="605"/>
      <c r="K50" s="80"/>
      <c r="L50" s="12" t="e">
        <f>L45</f>
        <v>#REF!</v>
      </c>
    </row>
    <row r="51" spans="2:12">
      <c r="B51" s="606" t="s">
        <v>179</v>
      </c>
      <c r="C51" s="607"/>
      <c r="D51" s="607"/>
      <c r="E51" s="607"/>
      <c r="F51" s="607"/>
      <c r="G51" s="607"/>
      <c r="H51" s="607"/>
      <c r="I51" s="607"/>
      <c r="J51" s="608"/>
      <c r="K51" s="101"/>
      <c r="L51" s="102" t="e">
        <f>SUM(L48:L50)</f>
        <v>#REF!</v>
      </c>
    </row>
    <row r="52" spans="2:12">
      <c r="B52" s="609"/>
      <c r="C52" s="610"/>
      <c r="D52" s="610"/>
      <c r="E52" s="610"/>
      <c r="F52" s="610"/>
      <c r="G52" s="610"/>
      <c r="H52" s="610"/>
      <c r="I52" s="610"/>
      <c r="J52" s="610"/>
      <c r="K52" s="610"/>
      <c r="L52" s="610"/>
    </row>
    <row r="53" spans="2:12">
      <c r="B53" s="611" t="s">
        <v>171</v>
      </c>
      <c r="C53" s="611"/>
      <c r="D53" s="611"/>
      <c r="E53" s="611"/>
      <c r="F53" s="611"/>
      <c r="G53" s="611"/>
      <c r="H53" s="611"/>
      <c r="I53" s="611"/>
      <c r="J53" s="611"/>
      <c r="K53" s="97" t="s">
        <v>9</v>
      </c>
      <c r="L53" s="98" t="s">
        <v>166</v>
      </c>
    </row>
    <row r="54" spans="2:12">
      <c r="B54" s="69" t="s">
        <v>4</v>
      </c>
      <c r="C54" s="617" t="s">
        <v>26</v>
      </c>
      <c r="D54" s="617"/>
      <c r="E54" s="617"/>
      <c r="F54" s="617"/>
      <c r="G54" s="617"/>
      <c r="H54" s="617"/>
      <c r="I54" s="38">
        <v>30</v>
      </c>
      <c r="J54" s="39">
        <v>0.05</v>
      </c>
      <c r="K54" s="34">
        <f>I54/30/12*J54</f>
        <v>4.1666666666666666E-3</v>
      </c>
      <c r="L54" s="12" t="e">
        <f t="shared" ref="L54:L59" si="0">ROUND(K54*$L$17,2)</f>
        <v>#REF!</v>
      </c>
    </row>
    <row r="55" spans="2:12">
      <c r="B55" s="69" t="s">
        <v>6</v>
      </c>
      <c r="C55" s="617" t="s">
        <v>27</v>
      </c>
      <c r="D55" s="617"/>
      <c r="E55" s="617"/>
      <c r="F55" s="617"/>
      <c r="G55" s="617"/>
      <c r="H55" s="617"/>
      <c r="I55" s="617"/>
      <c r="J55" s="617"/>
      <c r="K55" s="34">
        <f>K31*K54</f>
        <v>3.703703703703703E-4</v>
      </c>
      <c r="L55" s="12" t="e">
        <f t="shared" si="0"/>
        <v>#REF!</v>
      </c>
    </row>
    <row r="56" spans="2:12">
      <c r="B56" s="90" t="s">
        <v>10</v>
      </c>
      <c r="C56" s="617" t="s">
        <v>182</v>
      </c>
      <c r="D56" s="617"/>
      <c r="E56" s="617"/>
      <c r="F56" s="617"/>
      <c r="G56" s="617"/>
      <c r="H56" s="617"/>
      <c r="I56" s="617"/>
      <c r="J56" s="617"/>
      <c r="K56" s="34">
        <f>0.5*K55</f>
        <v>1.8518518518518515E-4</v>
      </c>
      <c r="L56" s="12" t="e">
        <f t="shared" si="0"/>
        <v>#REF!</v>
      </c>
    </row>
    <row r="57" spans="2:12">
      <c r="B57" s="90" t="s">
        <v>12</v>
      </c>
      <c r="C57" s="617" t="s">
        <v>184</v>
      </c>
      <c r="D57" s="617"/>
      <c r="E57" s="617"/>
      <c r="F57" s="617"/>
      <c r="G57" s="617"/>
      <c r="H57" s="617"/>
      <c r="I57" s="617"/>
      <c r="J57" s="617"/>
      <c r="K57" s="34">
        <v>4.0000000000000002E-4</v>
      </c>
      <c r="L57" s="12" t="e">
        <f t="shared" si="0"/>
        <v>#REF!</v>
      </c>
    </row>
    <row r="58" spans="2:12">
      <c r="B58" s="90" t="s">
        <v>14</v>
      </c>
      <c r="C58" s="617" t="s">
        <v>183</v>
      </c>
      <c r="D58" s="617"/>
      <c r="E58" s="617"/>
      <c r="F58" s="617"/>
      <c r="G58" s="617"/>
      <c r="H58" s="617"/>
      <c r="I58" s="617"/>
      <c r="J58" s="617"/>
      <c r="K58" s="34">
        <f>K34*K57</f>
        <v>1.5075555555555558E-4</v>
      </c>
      <c r="L58" s="12" t="e">
        <f t="shared" si="0"/>
        <v>#REF!</v>
      </c>
    </row>
    <row r="59" spans="2:12">
      <c r="B59" s="90" t="s">
        <v>1</v>
      </c>
      <c r="C59" s="617" t="s">
        <v>185</v>
      </c>
      <c r="D59" s="617"/>
      <c r="E59" s="617"/>
      <c r="F59" s="617"/>
      <c r="G59" s="617"/>
      <c r="H59" s="617"/>
      <c r="I59" s="617"/>
      <c r="J59" s="617"/>
      <c r="K59" s="96">
        <f>0.5*0.08*K57</f>
        <v>1.6000000000000003E-5</v>
      </c>
      <c r="L59" s="12" t="e">
        <f t="shared" si="0"/>
        <v>#REF!</v>
      </c>
    </row>
    <row r="60" spans="2:12" ht="15" customHeight="1">
      <c r="B60" s="606" t="s">
        <v>181</v>
      </c>
      <c r="C60" s="607"/>
      <c r="D60" s="607"/>
      <c r="E60" s="607"/>
      <c r="F60" s="607"/>
      <c r="G60" s="607"/>
      <c r="H60" s="607"/>
      <c r="I60" s="607"/>
      <c r="J60" s="608"/>
      <c r="K60" s="101"/>
      <c r="L60" s="102" t="e">
        <f>SUM(L54:L59)</f>
        <v>#REF!</v>
      </c>
    </row>
    <row r="61" spans="2:12">
      <c r="B61" s="20"/>
      <c r="C61" s="16"/>
      <c r="D61" s="16"/>
      <c r="E61" s="20"/>
      <c r="F61" s="20"/>
      <c r="G61" s="20"/>
      <c r="H61" s="20"/>
      <c r="I61" s="21"/>
      <c r="J61" s="22"/>
      <c r="K61" s="20"/>
    </row>
    <row r="62" spans="2:12">
      <c r="B62" s="611" t="s">
        <v>186</v>
      </c>
      <c r="C62" s="611"/>
      <c r="D62" s="611"/>
      <c r="E62" s="611"/>
      <c r="F62" s="611"/>
      <c r="G62" s="611"/>
      <c r="H62" s="611"/>
      <c r="I62" s="611"/>
      <c r="J62" s="611"/>
      <c r="K62" s="97"/>
      <c r="L62" s="98"/>
    </row>
    <row r="63" spans="2:12">
      <c r="B63" s="612" t="s">
        <v>191</v>
      </c>
      <c r="C63" s="613"/>
      <c r="D63" s="613"/>
      <c r="E63" s="613"/>
      <c r="F63" s="613"/>
      <c r="G63" s="613"/>
      <c r="H63" s="613"/>
      <c r="I63" s="613"/>
      <c r="J63" s="613"/>
      <c r="K63" s="92" t="s">
        <v>9</v>
      </c>
      <c r="L63" s="12" t="s">
        <v>166</v>
      </c>
    </row>
    <row r="64" spans="2:12">
      <c r="B64" s="69" t="s">
        <v>4</v>
      </c>
      <c r="C64" s="629" t="s">
        <v>187</v>
      </c>
      <c r="D64" s="629"/>
      <c r="E64" s="629"/>
      <c r="F64" s="629"/>
      <c r="G64" s="629"/>
      <c r="H64" s="629"/>
      <c r="I64" s="629"/>
      <c r="J64" s="629"/>
      <c r="K64" s="41">
        <f>1/12</f>
        <v>8.3333333333333329E-2</v>
      </c>
      <c r="L64" s="12" t="e">
        <f t="shared" ref="L64:L69" si="1">K64*$L$17</f>
        <v>#REF!</v>
      </c>
    </row>
    <row r="65" spans="2:13">
      <c r="B65" s="69" t="s">
        <v>6</v>
      </c>
      <c r="C65" s="617" t="s">
        <v>188</v>
      </c>
      <c r="D65" s="617"/>
      <c r="E65" s="617"/>
      <c r="F65" s="617"/>
      <c r="G65" s="640" t="s">
        <v>29</v>
      </c>
      <c r="H65" s="640"/>
      <c r="I65" s="640"/>
      <c r="J65" s="42">
        <v>3</v>
      </c>
      <c r="K65" s="41">
        <f>J65/30/12</f>
        <v>8.3333333333333332E-3</v>
      </c>
      <c r="L65" s="12" t="e">
        <f t="shared" si="1"/>
        <v>#REF!</v>
      </c>
      <c r="M65" s="1" t="s">
        <v>168</v>
      </c>
    </row>
    <row r="66" spans="2:13">
      <c r="B66" s="69" t="s">
        <v>10</v>
      </c>
      <c r="C66" s="617" t="s">
        <v>30</v>
      </c>
      <c r="D66" s="617"/>
      <c r="E66" s="617"/>
      <c r="F66" s="617"/>
      <c r="G66" s="640" t="s">
        <v>28</v>
      </c>
      <c r="H66" s="640"/>
      <c r="I66" s="36">
        <v>1.4999999999999999E-2</v>
      </c>
      <c r="J66" s="43">
        <v>5</v>
      </c>
      <c r="K66" s="41">
        <f>J66/30/12*I66</f>
        <v>2.0833333333333332E-4</v>
      </c>
      <c r="L66" s="12" t="e">
        <f t="shared" si="1"/>
        <v>#REF!</v>
      </c>
    </row>
    <row r="67" spans="2:13">
      <c r="B67" s="69" t="s">
        <v>12</v>
      </c>
      <c r="C67" s="640" t="s">
        <v>189</v>
      </c>
      <c r="D67" s="640"/>
      <c r="E67" s="640"/>
      <c r="F67" s="42"/>
      <c r="G67" s="640" t="s">
        <v>28</v>
      </c>
      <c r="H67" s="640"/>
      <c r="I67" s="36">
        <v>7.7999999999999996E-3</v>
      </c>
      <c r="J67" s="44">
        <v>15</v>
      </c>
      <c r="K67" s="41">
        <f>J67/30/12*I67</f>
        <v>3.2499999999999999E-4</v>
      </c>
      <c r="L67" s="12" t="e">
        <f t="shared" si="1"/>
        <v>#REF!</v>
      </c>
    </row>
    <row r="68" spans="2:13">
      <c r="B68" s="69" t="s">
        <v>14</v>
      </c>
      <c r="C68" s="640" t="s">
        <v>190</v>
      </c>
      <c r="D68" s="640"/>
      <c r="E68" s="640"/>
      <c r="F68" s="42"/>
      <c r="G68" s="641"/>
      <c r="H68" s="640"/>
      <c r="I68" s="36"/>
      <c r="J68" s="44"/>
      <c r="K68" s="41">
        <v>6.1000000000000004E-3</v>
      </c>
      <c r="L68" s="12" t="e">
        <f t="shared" si="1"/>
        <v>#REF!</v>
      </c>
      <c r="M68" s="64" t="s">
        <v>168</v>
      </c>
    </row>
    <row r="69" spans="2:13">
      <c r="B69" s="69" t="s">
        <v>1</v>
      </c>
      <c r="C69" s="620" t="s">
        <v>0</v>
      </c>
      <c r="D69" s="620"/>
      <c r="E69" s="620" t="s">
        <v>31</v>
      </c>
      <c r="F69" s="620"/>
      <c r="G69" s="620"/>
      <c r="H69" s="620"/>
      <c r="I69" s="620"/>
      <c r="J69" s="620"/>
      <c r="K69" s="45"/>
      <c r="L69" s="12" t="e">
        <f t="shared" si="1"/>
        <v>#REF!</v>
      </c>
      <c r="M69" s="64"/>
    </row>
    <row r="70" spans="2:13">
      <c r="B70" s="614" t="s">
        <v>192</v>
      </c>
      <c r="C70" s="615"/>
      <c r="D70" s="615"/>
      <c r="E70" s="615"/>
      <c r="F70" s="615"/>
      <c r="G70" s="615"/>
      <c r="H70" s="615"/>
      <c r="I70" s="615"/>
      <c r="J70" s="616"/>
      <c r="K70" s="46"/>
      <c r="L70" s="12" t="e">
        <f>SUM(L64:L69)</f>
        <v>#REF!</v>
      </c>
    </row>
    <row r="71" spans="2:13">
      <c r="B71" s="93"/>
      <c r="C71" s="94"/>
      <c r="D71" s="94"/>
      <c r="E71" s="94"/>
      <c r="F71" s="94"/>
      <c r="G71" s="94"/>
      <c r="H71" s="94"/>
      <c r="I71" s="94"/>
      <c r="J71" s="95"/>
      <c r="K71" s="34"/>
      <c r="L71" s="12"/>
    </row>
    <row r="72" spans="2:13">
      <c r="B72" s="612" t="s">
        <v>193</v>
      </c>
      <c r="C72" s="613"/>
      <c r="D72" s="613"/>
      <c r="E72" s="613"/>
      <c r="F72" s="613"/>
      <c r="G72" s="613"/>
      <c r="H72" s="613"/>
      <c r="I72" s="613"/>
      <c r="J72" s="613"/>
      <c r="K72" s="92" t="s">
        <v>9</v>
      </c>
      <c r="L72" s="12" t="s">
        <v>166</v>
      </c>
    </row>
    <row r="73" spans="2:13">
      <c r="B73" s="90" t="s">
        <v>4</v>
      </c>
      <c r="C73" s="629" t="s">
        <v>194</v>
      </c>
      <c r="D73" s="629"/>
      <c r="E73" s="629"/>
      <c r="F73" s="629"/>
      <c r="G73" s="629"/>
      <c r="H73" s="629"/>
      <c r="I73" s="629"/>
      <c r="J73" s="629"/>
      <c r="K73" s="41">
        <v>0</v>
      </c>
      <c r="L73" s="12" t="e">
        <f>K73*$L$17</f>
        <v>#REF!</v>
      </c>
    </row>
    <row r="74" spans="2:13">
      <c r="B74" s="614" t="s">
        <v>195</v>
      </c>
      <c r="C74" s="615"/>
      <c r="D74" s="615"/>
      <c r="E74" s="615"/>
      <c r="F74" s="615"/>
      <c r="G74" s="615"/>
      <c r="H74" s="615"/>
      <c r="I74" s="615"/>
      <c r="J74" s="616"/>
      <c r="K74" s="46"/>
      <c r="L74" s="12" t="e">
        <f>SUM(L73:L73)</f>
        <v>#REF!</v>
      </c>
    </row>
    <row r="75" spans="2:13">
      <c r="B75" s="93"/>
      <c r="C75" s="94"/>
      <c r="D75" s="94"/>
      <c r="E75" s="94"/>
      <c r="F75" s="94"/>
      <c r="G75" s="94"/>
      <c r="H75" s="94"/>
      <c r="I75" s="94"/>
      <c r="J75" s="94"/>
      <c r="K75" s="99"/>
      <c r="L75" s="12"/>
    </row>
    <row r="76" spans="2:13">
      <c r="B76" s="602" t="s">
        <v>196</v>
      </c>
      <c r="C76" s="602"/>
      <c r="D76" s="602"/>
      <c r="E76" s="602"/>
      <c r="F76" s="602"/>
      <c r="G76" s="602"/>
      <c r="H76" s="602"/>
      <c r="I76" s="602"/>
      <c r="J76" s="602"/>
      <c r="K76" s="602"/>
      <c r="L76" s="7" t="e">
        <f>L34</f>
        <v>#REF!</v>
      </c>
    </row>
    <row r="77" spans="2:13">
      <c r="B77" s="90" t="s">
        <v>197</v>
      </c>
      <c r="C77" s="603" t="s">
        <v>188</v>
      </c>
      <c r="D77" s="604"/>
      <c r="E77" s="604"/>
      <c r="F77" s="604"/>
      <c r="G77" s="604"/>
      <c r="H77" s="604"/>
      <c r="I77" s="604"/>
      <c r="J77" s="605"/>
      <c r="K77" s="80"/>
      <c r="L77" s="12" t="e">
        <f>L70</f>
        <v>#REF!</v>
      </c>
    </row>
    <row r="78" spans="2:13">
      <c r="B78" s="90" t="s">
        <v>198</v>
      </c>
      <c r="C78" s="603" t="s">
        <v>199</v>
      </c>
      <c r="D78" s="604"/>
      <c r="E78" s="604"/>
      <c r="F78" s="604"/>
      <c r="G78" s="604"/>
      <c r="H78" s="604"/>
      <c r="I78" s="604"/>
      <c r="J78" s="605"/>
      <c r="K78" s="80"/>
      <c r="L78" s="12" t="e">
        <f>L74</f>
        <v>#REF!</v>
      </c>
    </row>
    <row r="79" spans="2:13">
      <c r="B79" s="606" t="s">
        <v>200</v>
      </c>
      <c r="C79" s="607"/>
      <c r="D79" s="607"/>
      <c r="E79" s="607"/>
      <c r="F79" s="607"/>
      <c r="G79" s="607"/>
      <c r="H79" s="607"/>
      <c r="I79" s="607"/>
      <c r="J79" s="608"/>
      <c r="K79" s="101"/>
      <c r="L79" s="102" t="e">
        <f>SUM(L77:L78)</f>
        <v>#REF!</v>
      </c>
    </row>
    <row r="80" spans="2:13">
      <c r="B80" s="609"/>
      <c r="C80" s="610"/>
      <c r="D80" s="610"/>
      <c r="E80" s="610"/>
      <c r="F80" s="610"/>
      <c r="G80" s="610"/>
      <c r="H80" s="610"/>
      <c r="I80" s="610"/>
      <c r="J80" s="610"/>
      <c r="K80" s="610"/>
      <c r="L80" s="610"/>
    </row>
    <row r="81" spans="2:13">
      <c r="B81" s="611" t="s">
        <v>201</v>
      </c>
      <c r="C81" s="611"/>
      <c r="D81" s="611"/>
      <c r="E81" s="611"/>
      <c r="F81" s="611"/>
      <c r="G81" s="611"/>
      <c r="H81" s="611"/>
      <c r="I81" s="611"/>
      <c r="J81" s="611"/>
      <c r="K81" s="97"/>
      <c r="L81" s="98"/>
      <c r="M81" s="23"/>
    </row>
    <row r="82" spans="2:13">
      <c r="B82" s="69" t="s">
        <v>4</v>
      </c>
      <c r="C82" s="630" t="s">
        <v>54</v>
      </c>
      <c r="D82" s="630"/>
      <c r="E82" s="630"/>
      <c r="F82" s="630"/>
      <c r="G82" s="630"/>
      <c r="H82" s="630"/>
      <c r="I82" s="630"/>
      <c r="J82" s="630"/>
      <c r="K82" s="630"/>
      <c r="L82" s="12" t="e">
        <f>#REF!</f>
        <v>#REF!</v>
      </c>
    </row>
    <row r="83" spans="2:13">
      <c r="B83" s="69" t="s">
        <v>6</v>
      </c>
      <c r="C83" s="631" t="s">
        <v>203</v>
      </c>
      <c r="D83" s="632"/>
      <c r="E83" s="633" t="s">
        <v>55</v>
      </c>
      <c r="F83" s="634"/>
      <c r="G83" s="634"/>
      <c r="H83" s="634"/>
      <c r="I83" s="635"/>
      <c r="J83" s="636">
        <v>0.12</v>
      </c>
      <c r="K83" s="637"/>
      <c r="L83" s="19" t="e">
        <f>(L17+L51+L60+L79+L82)/(1-J83)*J83</f>
        <v>#REF!</v>
      </c>
      <c r="M83" s="24"/>
    </row>
    <row r="84" spans="2:13">
      <c r="B84" s="91" t="s">
        <v>210</v>
      </c>
      <c r="C84" s="631" t="s">
        <v>211</v>
      </c>
      <c r="D84" s="632"/>
      <c r="E84" s="633"/>
      <c r="F84" s="634"/>
      <c r="G84" s="634"/>
      <c r="H84" s="634"/>
      <c r="I84" s="635"/>
      <c r="J84" s="657">
        <f>H95+H96</f>
        <v>9.2499999999999999E-2</v>
      </c>
      <c r="K84" s="658"/>
      <c r="L84" s="19" t="e">
        <f>-J84*L83</f>
        <v>#REF!</v>
      </c>
      <c r="M84" s="24"/>
    </row>
    <row r="85" spans="2:13">
      <c r="B85" s="90" t="s">
        <v>10</v>
      </c>
      <c r="C85" s="83" t="s">
        <v>202</v>
      </c>
      <c r="D85" s="84"/>
      <c r="E85" s="85"/>
      <c r="F85" s="86"/>
      <c r="G85" s="86"/>
      <c r="H85" s="86"/>
      <c r="I85" s="87"/>
      <c r="J85" s="88"/>
      <c r="K85" s="89"/>
      <c r="L85" s="19"/>
      <c r="M85" s="24"/>
    </row>
    <row r="86" spans="2:13">
      <c r="B86" s="69" t="s">
        <v>204</v>
      </c>
      <c r="C86" s="620" t="s">
        <v>0</v>
      </c>
      <c r="D86" s="620"/>
      <c r="E86" s="620"/>
      <c r="F86" s="620"/>
      <c r="G86" s="620"/>
      <c r="H86" s="620"/>
      <c r="I86" s="620"/>
      <c r="J86" s="620"/>
      <c r="K86" s="620"/>
      <c r="L86" s="19">
        <v>0</v>
      </c>
    </row>
    <row r="87" spans="2:13">
      <c r="B87" s="606" t="s">
        <v>207</v>
      </c>
      <c r="C87" s="607"/>
      <c r="D87" s="607"/>
      <c r="E87" s="607"/>
      <c r="F87" s="607"/>
      <c r="G87" s="607"/>
      <c r="H87" s="607"/>
      <c r="I87" s="607"/>
      <c r="J87" s="608"/>
      <c r="K87" s="101"/>
      <c r="L87" s="102" t="e">
        <f>SUM(L82:L86)</f>
        <v>#REF!</v>
      </c>
    </row>
    <row r="88" spans="2:13">
      <c r="B88" s="25"/>
      <c r="C88" s="25"/>
      <c r="D88" s="25"/>
      <c r="E88" s="25"/>
      <c r="F88" s="25"/>
      <c r="G88" s="25"/>
      <c r="H88" s="25"/>
      <c r="I88" s="71"/>
      <c r="J88" s="25"/>
      <c r="K88" s="25"/>
    </row>
    <row r="89" spans="2:13">
      <c r="B89" s="16"/>
      <c r="C89" s="16"/>
      <c r="D89" s="16"/>
      <c r="E89" s="16"/>
      <c r="F89" s="16"/>
      <c r="G89" s="16"/>
      <c r="H89" s="48"/>
      <c r="I89" s="48"/>
      <c r="J89" s="48"/>
      <c r="K89" s="48"/>
      <c r="L89" s="49"/>
    </row>
    <row r="90" spans="2:13">
      <c r="B90" s="611" t="s">
        <v>205</v>
      </c>
      <c r="C90" s="611"/>
      <c r="D90" s="611"/>
      <c r="E90" s="611"/>
      <c r="F90" s="611"/>
      <c r="G90" s="611"/>
      <c r="H90" s="611"/>
      <c r="I90" s="611"/>
      <c r="J90" s="611"/>
      <c r="K90" s="97"/>
      <c r="L90" s="98" t="str">
        <f>L5</f>
        <v>SERVENTE</v>
      </c>
    </row>
    <row r="91" spans="2:13">
      <c r="B91" s="69" t="s">
        <v>4</v>
      </c>
      <c r="C91" s="629" t="s">
        <v>206</v>
      </c>
      <c r="D91" s="629"/>
      <c r="E91" s="629"/>
      <c r="F91" s="629"/>
      <c r="G91" s="629"/>
      <c r="H91" s="629"/>
      <c r="I91" s="629"/>
      <c r="J91" s="629"/>
      <c r="K91" s="65">
        <v>0.05</v>
      </c>
      <c r="L91" s="28" t="e">
        <f>K91*L110</f>
        <v>#REF!</v>
      </c>
      <c r="M91" s="50"/>
    </row>
    <row r="92" spans="2:13">
      <c r="B92" s="69" t="s">
        <v>6</v>
      </c>
      <c r="C92" s="629" t="s">
        <v>32</v>
      </c>
      <c r="D92" s="629"/>
      <c r="E92" s="629"/>
      <c r="F92" s="629"/>
      <c r="G92" s="629"/>
      <c r="H92" s="629"/>
      <c r="I92" s="629"/>
      <c r="J92" s="629"/>
      <c r="K92" s="65">
        <v>6.8099999999999994E-2</v>
      </c>
      <c r="L92" s="28" t="e">
        <f>K92*L110</f>
        <v>#REF!</v>
      </c>
      <c r="M92" s="50"/>
    </row>
    <row r="93" spans="2:13">
      <c r="B93" s="645" t="s">
        <v>10</v>
      </c>
      <c r="C93" s="646" t="s">
        <v>33</v>
      </c>
      <c r="D93" s="647"/>
      <c r="E93" s="647"/>
      <c r="F93" s="647"/>
      <c r="G93" s="647"/>
      <c r="H93" s="647"/>
      <c r="I93" s="648"/>
      <c r="J93" s="649" t="e">
        <f>L110+L91+L92</f>
        <v>#REF!</v>
      </c>
      <c r="K93" s="650"/>
      <c r="L93" s="47"/>
    </row>
    <row r="94" spans="2:13">
      <c r="B94" s="645"/>
      <c r="C94" s="651" t="s">
        <v>34</v>
      </c>
      <c r="D94" s="652"/>
      <c r="E94" s="652"/>
      <c r="F94" s="653"/>
      <c r="G94" s="70"/>
      <c r="H94" s="70" t="s">
        <v>35</v>
      </c>
      <c r="I94" s="70"/>
      <c r="J94" s="654"/>
      <c r="K94" s="655"/>
      <c r="L94" s="47"/>
    </row>
    <row r="95" spans="2:13">
      <c r="B95" s="645"/>
      <c r="C95" s="642" t="s">
        <v>36</v>
      </c>
      <c r="D95" s="642"/>
      <c r="E95" s="642"/>
      <c r="F95" s="642"/>
      <c r="G95" s="68" t="s">
        <v>37</v>
      </c>
      <c r="H95" s="35">
        <v>1.6500000000000001E-2</v>
      </c>
      <c r="I95" s="656">
        <f>SUM(H95:H100)</f>
        <v>0.13250000000000001</v>
      </c>
      <c r="J95" s="643" t="e">
        <f t="shared" ref="J95:J100" si="2">ROUND($L$112*H95,2)</f>
        <v>#REF!</v>
      </c>
      <c r="K95" s="644"/>
      <c r="L95" s="671" t="e">
        <f>SUM(J95:K100)</f>
        <v>#REF!</v>
      </c>
    </row>
    <row r="96" spans="2:13">
      <c r="B96" s="645"/>
      <c r="C96" s="642"/>
      <c r="D96" s="642"/>
      <c r="E96" s="642"/>
      <c r="F96" s="642"/>
      <c r="G96" s="68" t="s">
        <v>38</v>
      </c>
      <c r="H96" s="35">
        <v>7.5999999999999998E-2</v>
      </c>
      <c r="I96" s="656"/>
      <c r="J96" s="643" t="e">
        <f t="shared" si="2"/>
        <v>#REF!</v>
      </c>
      <c r="K96" s="644"/>
      <c r="L96" s="672"/>
    </row>
    <row r="97" spans="2:12">
      <c r="B97" s="645"/>
      <c r="C97" s="642"/>
      <c r="D97" s="642"/>
      <c r="E97" s="642"/>
      <c r="F97" s="642"/>
      <c r="G97" s="68" t="s">
        <v>39</v>
      </c>
      <c r="H97" s="35">
        <v>0</v>
      </c>
      <c r="I97" s="656"/>
      <c r="J97" s="643" t="e">
        <f t="shared" si="2"/>
        <v>#REF!</v>
      </c>
      <c r="K97" s="644"/>
      <c r="L97" s="672"/>
    </row>
    <row r="98" spans="2:12">
      <c r="B98" s="645"/>
      <c r="C98" s="642" t="s">
        <v>40</v>
      </c>
      <c r="D98" s="642"/>
      <c r="E98" s="642"/>
      <c r="F98" s="642"/>
      <c r="G98" s="67" t="s">
        <v>41</v>
      </c>
      <c r="H98" s="35">
        <v>0.04</v>
      </c>
      <c r="I98" s="656"/>
      <c r="J98" s="643" t="e">
        <f t="shared" si="2"/>
        <v>#REF!</v>
      </c>
      <c r="K98" s="644"/>
      <c r="L98" s="672"/>
    </row>
    <row r="99" spans="2:12">
      <c r="B99" s="645"/>
      <c r="C99" s="642"/>
      <c r="D99" s="642"/>
      <c r="E99" s="642"/>
      <c r="F99" s="642"/>
      <c r="G99" s="67" t="s">
        <v>39</v>
      </c>
      <c r="H99" s="35">
        <v>0</v>
      </c>
      <c r="I99" s="656"/>
      <c r="J99" s="643" t="e">
        <f t="shared" si="2"/>
        <v>#REF!</v>
      </c>
      <c r="K99" s="644"/>
      <c r="L99" s="672"/>
    </row>
    <row r="100" spans="2:12">
      <c r="B100" s="645"/>
      <c r="C100" s="642" t="s">
        <v>42</v>
      </c>
      <c r="D100" s="642"/>
      <c r="E100" s="642"/>
      <c r="F100" s="642"/>
      <c r="G100" s="67"/>
      <c r="H100" s="35">
        <v>0</v>
      </c>
      <c r="I100" s="656"/>
      <c r="J100" s="643" t="e">
        <f t="shared" si="2"/>
        <v>#REF!</v>
      </c>
      <c r="K100" s="644"/>
      <c r="L100" s="673"/>
    </row>
    <row r="101" spans="2:12">
      <c r="B101" s="645" t="s">
        <v>43</v>
      </c>
      <c r="C101" s="645"/>
      <c r="D101" s="645"/>
      <c r="E101" s="645"/>
      <c r="F101" s="645"/>
      <c r="G101" s="645"/>
      <c r="H101" s="645"/>
      <c r="I101" s="645"/>
      <c r="J101" s="645"/>
      <c r="K101" s="645"/>
      <c r="L101" s="60" t="e">
        <f>L95+L92+L91</f>
        <v>#REF!</v>
      </c>
    </row>
    <row r="102" spans="2:12">
      <c r="B102" s="51"/>
      <c r="C102" s="51"/>
      <c r="D102" s="51"/>
      <c r="E102" s="51"/>
      <c r="F102" s="51"/>
      <c r="G102" s="51"/>
      <c r="H102" s="51"/>
      <c r="I102" s="52"/>
      <c r="J102" s="53"/>
      <c r="K102" s="51"/>
    </row>
    <row r="103" spans="2:12">
      <c r="B103" s="670" t="s">
        <v>44</v>
      </c>
      <c r="C103" s="670"/>
      <c r="D103" s="670"/>
      <c r="E103" s="670"/>
      <c r="F103" s="670"/>
      <c r="G103" s="670"/>
      <c r="H103" s="670"/>
      <c r="I103" s="670"/>
      <c r="J103" s="670"/>
      <c r="K103" s="670"/>
      <c r="L103" s="670"/>
    </row>
    <row r="104" spans="2:12">
      <c r="B104" s="665" t="s">
        <v>45</v>
      </c>
      <c r="C104" s="665"/>
      <c r="D104" s="665"/>
      <c r="E104" s="665"/>
      <c r="F104" s="665"/>
      <c r="G104" s="665"/>
      <c r="H104" s="665"/>
      <c r="I104" s="665"/>
      <c r="J104" s="665"/>
      <c r="K104" s="665"/>
      <c r="L104" s="7" t="str">
        <f>L5</f>
        <v>SERVENTE</v>
      </c>
    </row>
    <row r="105" spans="2:12">
      <c r="B105" s="69" t="s">
        <v>4</v>
      </c>
      <c r="C105" s="629" t="str">
        <f>B6</f>
        <v xml:space="preserve">MÓDULO 01 – Composição da Remuneração </v>
      </c>
      <c r="D105" s="629"/>
      <c r="E105" s="629"/>
      <c r="F105" s="629"/>
      <c r="G105" s="629"/>
      <c r="H105" s="629"/>
      <c r="I105" s="629"/>
      <c r="J105" s="629"/>
      <c r="K105" s="629"/>
      <c r="L105" s="54" t="e">
        <f>L17</f>
        <v>#REF!</v>
      </c>
    </row>
    <row r="106" spans="2:12">
      <c r="B106" s="69" t="s">
        <v>6</v>
      </c>
      <c r="C106" s="629" t="str">
        <f>B19</f>
        <v>MÓDULO 2 – ENCARGOS E BENEFÍCIOS ANUAIS, MENSAIS E DIÁRIOS</v>
      </c>
      <c r="D106" s="629"/>
      <c r="E106" s="629"/>
      <c r="F106" s="629"/>
      <c r="G106" s="629"/>
      <c r="H106" s="629"/>
      <c r="I106" s="629"/>
      <c r="J106" s="629"/>
      <c r="K106" s="629"/>
      <c r="L106" s="54" t="e">
        <f>L51</f>
        <v>#REF!</v>
      </c>
    </row>
    <row r="107" spans="2:12">
      <c r="B107" s="69" t="s">
        <v>10</v>
      </c>
      <c r="C107" s="629" t="str">
        <f>B53</f>
        <v>MÓDULO 3 – PROVISÃO PARA RESCISÃO</v>
      </c>
      <c r="D107" s="629"/>
      <c r="E107" s="629"/>
      <c r="F107" s="629"/>
      <c r="G107" s="629"/>
      <c r="H107" s="629"/>
      <c r="I107" s="629"/>
      <c r="J107" s="629"/>
      <c r="K107" s="629"/>
      <c r="L107" s="54" t="e">
        <f>L60</f>
        <v>#REF!</v>
      </c>
    </row>
    <row r="108" spans="2:12">
      <c r="B108" s="69" t="s">
        <v>12</v>
      </c>
      <c r="C108" s="629" t="str">
        <f>B62</f>
        <v>MÓDULO 4 – CUSTO DE REPOSIÇÃO DO PROFISSIONAL AUSENTE</v>
      </c>
      <c r="D108" s="629"/>
      <c r="E108" s="629"/>
      <c r="F108" s="629"/>
      <c r="G108" s="629"/>
      <c r="H108" s="629"/>
      <c r="I108" s="629"/>
      <c r="J108" s="629"/>
      <c r="K108" s="629"/>
      <c r="L108" s="54" t="e">
        <f>L79</f>
        <v>#REF!</v>
      </c>
    </row>
    <row r="109" spans="2:12">
      <c r="B109" s="90" t="s">
        <v>14</v>
      </c>
      <c r="C109" s="629" t="str">
        <f>B81</f>
        <v>MÓDULO 5 – INSUMOS DIVERSOS</v>
      </c>
      <c r="D109" s="629"/>
      <c r="E109" s="629"/>
      <c r="F109" s="629"/>
      <c r="G109" s="629"/>
      <c r="H109" s="629"/>
      <c r="I109" s="629"/>
      <c r="J109" s="629"/>
      <c r="K109" s="629"/>
      <c r="L109" s="54" t="e">
        <f>L87</f>
        <v>#REF!</v>
      </c>
    </row>
    <row r="110" spans="2:12">
      <c r="B110" s="665" t="s">
        <v>209</v>
      </c>
      <c r="C110" s="665"/>
      <c r="D110" s="665"/>
      <c r="E110" s="665"/>
      <c r="F110" s="665"/>
      <c r="G110" s="665"/>
      <c r="H110" s="665"/>
      <c r="I110" s="665"/>
      <c r="J110" s="665"/>
      <c r="K110" s="665"/>
      <c r="L110" s="61" t="e">
        <f>SUM(L105:L109)</f>
        <v>#REF!</v>
      </c>
    </row>
    <row r="111" spans="2:12">
      <c r="B111" s="69" t="s">
        <v>14</v>
      </c>
      <c r="C111" s="629" t="s">
        <v>46</v>
      </c>
      <c r="D111" s="629"/>
      <c r="E111" s="629"/>
      <c r="F111" s="629"/>
      <c r="G111" s="629"/>
      <c r="H111" s="629"/>
      <c r="I111" s="629"/>
      <c r="J111" s="629"/>
      <c r="K111" s="629"/>
      <c r="L111" s="55" t="e">
        <f>L112-L110</f>
        <v>#REF!</v>
      </c>
    </row>
    <row r="112" spans="2:12">
      <c r="B112" s="666" t="s">
        <v>47</v>
      </c>
      <c r="C112" s="666"/>
      <c r="D112" s="666"/>
      <c r="E112" s="666"/>
      <c r="F112" s="666"/>
      <c r="G112" s="666"/>
      <c r="H112" s="666"/>
      <c r="I112" s="666"/>
      <c r="J112" s="666"/>
      <c r="K112" s="666"/>
      <c r="L112" s="62" t="e">
        <f>ROUND(J93/(1-$I$95),2)</f>
        <v>#REF!</v>
      </c>
    </row>
    <row r="113" spans="6:12">
      <c r="K113" s="50"/>
    </row>
    <row r="115" spans="6:12">
      <c r="F115" s="667" t="s">
        <v>48</v>
      </c>
      <c r="G115" s="668"/>
      <c r="H115" s="668"/>
      <c r="I115" s="669"/>
      <c r="J115" s="1"/>
      <c r="L115" s="1"/>
    </row>
    <row r="116" spans="6:12">
      <c r="F116" s="667" t="s">
        <v>49</v>
      </c>
      <c r="G116" s="668"/>
      <c r="H116" s="669"/>
      <c r="I116" s="56" t="s">
        <v>9</v>
      </c>
      <c r="J116" s="1"/>
      <c r="L116" s="1"/>
    </row>
    <row r="117" spans="6:12">
      <c r="F117" s="57" t="s">
        <v>50</v>
      </c>
      <c r="G117" s="57"/>
      <c r="H117" s="58"/>
      <c r="I117" s="58">
        <f>K91</f>
        <v>0.05</v>
      </c>
      <c r="J117" s="1"/>
      <c r="L117" s="1"/>
    </row>
    <row r="118" spans="6:12">
      <c r="F118" s="659" t="s">
        <v>32</v>
      </c>
      <c r="G118" s="660"/>
      <c r="H118" s="661"/>
      <c r="I118" s="58">
        <f>K92</f>
        <v>6.8099999999999994E-2</v>
      </c>
      <c r="J118" s="1"/>
      <c r="L118" s="1"/>
    </row>
    <row r="119" spans="6:12">
      <c r="F119" s="57" t="s">
        <v>51</v>
      </c>
      <c r="G119" s="57"/>
      <c r="H119" s="58"/>
      <c r="I119" s="58">
        <f>I95</f>
        <v>0.13250000000000001</v>
      </c>
      <c r="J119" s="1"/>
      <c r="L119" s="1"/>
    </row>
    <row r="120" spans="6:12">
      <c r="F120" s="662" t="s">
        <v>52</v>
      </c>
      <c r="G120" s="663"/>
      <c r="H120" s="664"/>
      <c r="I120" s="58">
        <f>(1+I117)*(1+I118)/(1-I119)-1</f>
        <v>0.29280115273775253</v>
      </c>
      <c r="J120" s="1"/>
      <c r="L120" s="1"/>
    </row>
  </sheetData>
  <mergeCells count="126">
    <mergeCell ref="C12:I12"/>
    <mergeCell ref="C13:I13"/>
    <mergeCell ref="B25:J25"/>
    <mergeCell ref="C84:D84"/>
    <mergeCell ref="E84:I84"/>
    <mergeCell ref="J84:K84"/>
    <mergeCell ref="B2:L2"/>
    <mergeCell ref="B3:L4"/>
    <mergeCell ref="B6:L6"/>
    <mergeCell ref="C7:K7"/>
    <mergeCell ref="C9:E9"/>
    <mergeCell ref="F9:I9"/>
    <mergeCell ref="C8:K8"/>
    <mergeCell ref="C10:I10"/>
    <mergeCell ref="C11:I11"/>
    <mergeCell ref="C14:I14"/>
    <mergeCell ref="C15:K15"/>
    <mergeCell ref="C16:K16"/>
    <mergeCell ref="B17:K17"/>
    <mergeCell ref="C57:H57"/>
    <mergeCell ref="B53:J53"/>
    <mergeCell ref="C54:H54"/>
    <mergeCell ref="B52:L52"/>
    <mergeCell ref="C65:F65"/>
    <mergeCell ref="C58:H58"/>
    <mergeCell ref="I58:J58"/>
    <mergeCell ref="C59:H59"/>
    <mergeCell ref="C86:K86"/>
    <mergeCell ref="B19:K19"/>
    <mergeCell ref="B20:J20"/>
    <mergeCell ref="B23:J23"/>
    <mergeCell ref="C21:J21"/>
    <mergeCell ref="C22:J22"/>
    <mergeCell ref="B45:J45"/>
    <mergeCell ref="C26:J26"/>
    <mergeCell ref="C27:J27"/>
    <mergeCell ref="C44:K44"/>
    <mergeCell ref="C82:K82"/>
    <mergeCell ref="C83:D83"/>
    <mergeCell ref="E83:I83"/>
    <mergeCell ref="J83:K83"/>
    <mergeCell ref="B47:K47"/>
    <mergeCell ref="C48:J48"/>
    <mergeCell ref="C49:J49"/>
    <mergeCell ref="C50:J50"/>
    <mergeCell ref="B51:J51"/>
    <mergeCell ref="B60:J60"/>
    <mergeCell ref="C55:H55"/>
    <mergeCell ref="B36:J36"/>
    <mergeCell ref="C37:J37"/>
    <mergeCell ref="C38:J38"/>
    <mergeCell ref="C39:J39"/>
    <mergeCell ref="C40:J40"/>
    <mergeCell ref="C41:J41"/>
    <mergeCell ref="C42:J42"/>
    <mergeCell ref="C43:J43"/>
    <mergeCell ref="I57:J57"/>
    <mergeCell ref="I55:J55"/>
    <mergeCell ref="C56:H56"/>
    <mergeCell ref="I56:J56"/>
    <mergeCell ref="C28:J28"/>
    <mergeCell ref="C29:J29"/>
    <mergeCell ref="C30:J30"/>
    <mergeCell ref="C32:F32"/>
    <mergeCell ref="C33:J33"/>
    <mergeCell ref="C31:D31"/>
    <mergeCell ref="E31:F31"/>
    <mergeCell ref="G31:J31"/>
    <mergeCell ref="B34:J34"/>
    <mergeCell ref="B90:J90"/>
    <mergeCell ref="C100:F100"/>
    <mergeCell ref="J100:K100"/>
    <mergeCell ref="C92:J92"/>
    <mergeCell ref="B93:B100"/>
    <mergeCell ref="C93:I93"/>
    <mergeCell ref="J93:K93"/>
    <mergeCell ref="F118:H118"/>
    <mergeCell ref="F120:H120"/>
    <mergeCell ref="C108:K108"/>
    <mergeCell ref="B110:K110"/>
    <mergeCell ref="C111:K111"/>
    <mergeCell ref="B112:K112"/>
    <mergeCell ref="F115:I115"/>
    <mergeCell ref="F116:H116"/>
    <mergeCell ref="B101:K101"/>
    <mergeCell ref="B103:L103"/>
    <mergeCell ref="B104:K104"/>
    <mergeCell ref="C105:K105"/>
    <mergeCell ref="C106:K106"/>
    <mergeCell ref="C107:K107"/>
    <mergeCell ref="C109:K109"/>
    <mergeCell ref="I95:I100"/>
    <mergeCell ref="J95:K95"/>
    <mergeCell ref="C91:J91"/>
    <mergeCell ref="L95:L100"/>
    <mergeCell ref="J96:K96"/>
    <mergeCell ref="J97:K97"/>
    <mergeCell ref="C98:F99"/>
    <mergeCell ref="J98:K98"/>
    <mergeCell ref="J99:K99"/>
    <mergeCell ref="C94:F94"/>
    <mergeCell ref="J94:K94"/>
    <mergeCell ref="C95:F97"/>
    <mergeCell ref="I59:J59"/>
    <mergeCell ref="G67:H67"/>
    <mergeCell ref="C67:E67"/>
    <mergeCell ref="C68:E68"/>
    <mergeCell ref="B70:J70"/>
    <mergeCell ref="B63:J63"/>
    <mergeCell ref="B87:J87"/>
    <mergeCell ref="B62:J62"/>
    <mergeCell ref="C64:J64"/>
    <mergeCell ref="G68:H68"/>
    <mergeCell ref="C69:J69"/>
    <mergeCell ref="B72:J72"/>
    <mergeCell ref="C73:J73"/>
    <mergeCell ref="G65:I65"/>
    <mergeCell ref="C66:F66"/>
    <mergeCell ref="G66:H66"/>
    <mergeCell ref="C78:J78"/>
    <mergeCell ref="B74:J74"/>
    <mergeCell ref="B76:K76"/>
    <mergeCell ref="C77:J77"/>
    <mergeCell ref="B79:J79"/>
    <mergeCell ref="B80:L80"/>
    <mergeCell ref="B81:J81"/>
  </mergeCells>
  <pageMargins left="0.511811024" right="0.511811024" top="0.78740157499999996" bottom="0.78740157499999996" header="0.31496062000000002" footer="0.31496062000000002"/>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1"/>
  <sheetViews>
    <sheetView view="pageBreakPreview" zoomScaleNormal="100" zoomScaleSheetLayoutView="100" workbookViewId="0">
      <selection activeCell="E19" sqref="E19"/>
    </sheetView>
  </sheetViews>
  <sheetFormatPr defaultRowHeight="15"/>
  <cols>
    <col min="1" max="1" width="5.140625" style="304" bestFit="1" customWidth="1"/>
    <col min="2" max="2" width="23.7109375" style="304" customWidth="1"/>
    <col min="3" max="3" width="17.7109375" style="304" customWidth="1"/>
    <col min="4" max="4" width="15.140625" style="304" customWidth="1"/>
    <col min="5" max="5" width="12.7109375" style="304" customWidth="1"/>
    <col min="6" max="6" width="12.28515625" style="304" customWidth="1"/>
    <col min="7" max="7" width="7.28515625" style="304" bestFit="1" customWidth="1"/>
    <col min="8" max="8" width="14" style="304" customWidth="1"/>
    <col min="9" max="9" width="13" style="304" customWidth="1"/>
    <col min="10" max="10" width="12.7109375" style="304" bestFit="1" customWidth="1"/>
    <col min="11" max="11" width="9.7109375" style="304" bestFit="1" customWidth="1"/>
    <col min="12" max="12" width="15" style="304" bestFit="1" customWidth="1"/>
    <col min="13" max="13" width="11.85546875" style="300" bestFit="1" customWidth="1"/>
    <col min="14" max="16384" width="9.140625" style="304"/>
  </cols>
  <sheetData>
    <row r="1" spans="1:13" s="282" customFormat="1">
      <c r="A1" s="677" t="s">
        <v>388</v>
      </c>
      <c r="B1" s="678"/>
      <c r="C1" s="278"/>
      <c r="D1" s="309"/>
      <c r="E1" s="309"/>
      <c r="F1" s="309"/>
      <c r="G1" s="278"/>
      <c r="H1" s="278"/>
      <c r="I1" s="278"/>
      <c r="J1" s="279"/>
      <c r="K1" s="280"/>
      <c r="L1" s="281"/>
      <c r="M1" s="280"/>
    </row>
    <row r="2" spans="1:13" s="282" customFormat="1">
      <c r="A2" s="679" t="s">
        <v>383</v>
      </c>
      <c r="B2" s="680"/>
      <c r="C2" s="283"/>
      <c r="G2" s="284"/>
      <c r="H2" s="284"/>
      <c r="I2" s="284"/>
      <c r="J2" s="285"/>
      <c r="K2" s="280"/>
      <c r="L2" s="281"/>
      <c r="M2" s="280"/>
    </row>
    <row r="3" spans="1:13" s="282" customFormat="1">
      <c r="A3" s="283" t="s">
        <v>390</v>
      </c>
      <c r="B3" s="283"/>
      <c r="C3" s="283"/>
      <c r="G3" s="286"/>
      <c r="H3" s="286"/>
      <c r="I3" s="286"/>
      <c r="J3" s="287"/>
      <c r="K3" s="280"/>
      <c r="L3" s="281"/>
      <c r="M3" s="280"/>
    </row>
    <row r="4" spans="1:13" s="282" customFormat="1">
      <c r="A4" s="679" t="s">
        <v>389</v>
      </c>
      <c r="B4" s="680"/>
      <c r="C4" s="288"/>
      <c r="G4" s="289"/>
      <c r="H4" s="289"/>
      <c r="I4" s="289"/>
      <c r="J4" s="290"/>
      <c r="K4" s="280"/>
      <c r="L4" s="281"/>
      <c r="M4" s="280"/>
    </row>
    <row r="5" spans="1:13" ht="31.5" customHeight="1">
      <c r="A5" s="681" t="s">
        <v>391</v>
      </c>
      <c r="B5" s="682"/>
      <c r="C5" s="682"/>
      <c r="D5" s="682"/>
      <c r="E5" s="682"/>
      <c r="F5" s="682"/>
      <c r="G5" s="682"/>
      <c r="H5" s="682"/>
      <c r="I5" s="682"/>
      <c r="J5" s="683"/>
      <c r="K5" s="291"/>
      <c r="L5" s="292"/>
      <c r="M5" s="293"/>
    </row>
    <row r="6" spans="1:13" ht="31.5" customHeight="1">
      <c r="A6" s="294" t="s">
        <v>378</v>
      </c>
      <c r="B6" s="295" t="s">
        <v>379</v>
      </c>
      <c r="C6" s="295" t="s">
        <v>382</v>
      </c>
      <c r="D6" s="296" t="s">
        <v>384</v>
      </c>
      <c r="E6" s="315" t="s">
        <v>385</v>
      </c>
      <c r="F6" s="315" t="s">
        <v>386</v>
      </c>
      <c r="G6" s="297" t="s">
        <v>380</v>
      </c>
      <c r="H6" s="296" t="s">
        <v>384</v>
      </c>
      <c r="I6" s="315" t="s">
        <v>385</v>
      </c>
      <c r="J6" s="315" t="s">
        <v>386</v>
      </c>
      <c r="K6" s="291"/>
      <c r="L6" s="311"/>
      <c r="M6" s="293"/>
    </row>
    <row r="7" spans="1:13">
      <c r="A7" s="313">
        <v>1</v>
      </c>
      <c r="B7" s="314" t="s">
        <v>421</v>
      </c>
      <c r="C7" s="314" t="s">
        <v>424</v>
      </c>
      <c r="D7" s="306" t="e">
        <f>#REF!</f>
        <v>#REF!</v>
      </c>
      <c r="E7" s="316" t="e">
        <f>#REF!</f>
        <v>#REF!</v>
      </c>
      <c r="F7" s="316" t="e">
        <f>#REF!</f>
        <v>#REF!</v>
      </c>
      <c r="G7" s="307">
        <v>5</v>
      </c>
      <c r="H7" s="306" t="e">
        <f>D7*G7</f>
        <v>#REF!</v>
      </c>
      <c r="I7" s="317" t="e">
        <f>E7*G7</f>
        <v>#REF!</v>
      </c>
      <c r="J7" s="308" t="e">
        <f>F7*G7</f>
        <v>#REF!</v>
      </c>
      <c r="K7" s="291"/>
      <c r="L7" s="310"/>
      <c r="M7" s="293"/>
    </row>
    <row r="8" spans="1:13">
      <c r="A8" s="313">
        <v>2</v>
      </c>
      <c r="B8" s="314" t="s">
        <v>422</v>
      </c>
      <c r="C8" s="314" t="s">
        <v>424</v>
      </c>
      <c r="D8" s="306" t="e">
        <f>#REF!</f>
        <v>#REF!</v>
      </c>
      <c r="E8" s="316" t="e">
        <f>#REF!</f>
        <v>#REF!</v>
      </c>
      <c r="F8" s="316" t="e">
        <f>#REF!</f>
        <v>#REF!</v>
      </c>
      <c r="G8" s="307">
        <v>2</v>
      </c>
      <c r="H8" s="306" t="e">
        <f>D8*G8</f>
        <v>#REF!</v>
      </c>
      <c r="I8" s="317" t="e">
        <f>E8*G8</f>
        <v>#REF!</v>
      </c>
      <c r="J8" s="308" t="e">
        <f>F8*G8</f>
        <v>#REF!</v>
      </c>
      <c r="K8" s="291"/>
      <c r="L8" s="310"/>
      <c r="M8" s="293"/>
    </row>
    <row r="9" spans="1:13">
      <c r="A9" s="313">
        <v>3</v>
      </c>
      <c r="B9" s="314" t="s">
        <v>423</v>
      </c>
      <c r="C9" s="314" t="s">
        <v>424</v>
      </c>
      <c r="D9" s="306" t="e">
        <f>#REF!</f>
        <v>#REF!</v>
      </c>
      <c r="E9" s="316" t="e">
        <f>#REF!</f>
        <v>#REF!</v>
      </c>
      <c r="F9" s="316" t="e">
        <f>#REF!</f>
        <v>#REF!</v>
      </c>
      <c r="G9" s="307">
        <v>1</v>
      </c>
      <c r="H9" s="306" t="e">
        <f>D9*G9</f>
        <v>#REF!</v>
      </c>
      <c r="I9" s="317" t="e">
        <f>E9*G9</f>
        <v>#REF!</v>
      </c>
      <c r="J9" s="308" t="e">
        <f>F9*G9</f>
        <v>#REF!</v>
      </c>
      <c r="K9" s="291"/>
      <c r="L9" s="310"/>
      <c r="M9" s="293"/>
    </row>
    <row r="10" spans="1:13" ht="15.75" thickBot="1">
      <c r="A10" s="674" t="s">
        <v>310</v>
      </c>
      <c r="B10" s="675"/>
      <c r="C10" s="675"/>
      <c r="D10" s="676"/>
      <c r="E10" s="312"/>
      <c r="F10" s="312"/>
      <c r="G10" s="298">
        <f>SUM(G7:G9)</f>
        <v>8</v>
      </c>
      <c r="H10" s="299" t="e">
        <f>SUM(H7:H9)</f>
        <v>#REF!</v>
      </c>
      <c r="I10" s="299" t="e">
        <f>SUM(I7:I9)</f>
        <v>#REF!</v>
      </c>
      <c r="J10" s="299" t="e">
        <f>SUM(J7:J9)</f>
        <v>#REF!</v>
      </c>
      <c r="K10" s="291"/>
      <c r="L10" s="291"/>
      <c r="M10" s="293"/>
    </row>
    <row r="11" spans="1:13" ht="15.75" thickBot="1">
      <c r="A11" s="674" t="s">
        <v>387</v>
      </c>
      <c r="B11" s="675"/>
      <c r="C11" s="675"/>
      <c r="D11" s="676"/>
      <c r="E11" s="318"/>
      <c r="F11" s="318"/>
      <c r="G11" s="318"/>
      <c r="H11" s="319" t="e">
        <f>H10/G10</f>
        <v>#REF!</v>
      </c>
      <c r="I11" s="319" t="e">
        <f>I10/G10</f>
        <v>#REF!</v>
      </c>
      <c r="J11" s="319" t="e">
        <f>J10/G10</f>
        <v>#REF!</v>
      </c>
    </row>
  </sheetData>
  <mergeCells count="6">
    <mergeCell ref="A11:D11"/>
    <mergeCell ref="A10:D10"/>
    <mergeCell ref="A1:B1"/>
    <mergeCell ref="A2:B2"/>
    <mergeCell ref="A4:B4"/>
    <mergeCell ref="A5:J5"/>
  </mergeCells>
  <pageMargins left="0.51181102362204722" right="0.51181102362204722" top="3.1496062992125986" bottom="0.39370078740157483" header="0.31496062992125984" footer="0.31496062992125984"/>
  <pageSetup paperSize="9" scale="68" orientation="portrait" r:id="rId1"/>
  <colBreaks count="1" manualBreakCount="1">
    <brk id="10" max="3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1"/>
  <sheetViews>
    <sheetView view="pageBreakPreview" zoomScaleNormal="100" zoomScaleSheetLayoutView="100" workbookViewId="0">
      <selection activeCell="N24" sqref="N24"/>
    </sheetView>
  </sheetViews>
  <sheetFormatPr defaultRowHeight="15"/>
  <cols>
    <col min="1" max="1" width="5.42578125" customWidth="1"/>
    <col min="2" max="2" width="33.42578125" customWidth="1"/>
    <col min="3" max="3" width="20.85546875" style="304" bestFit="1" customWidth="1"/>
    <col min="4" max="4" width="14.42578125" customWidth="1"/>
    <col min="5" max="5" width="8.42578125" style="368" customWidth="1"/>
    <col min="6" max="6" width="15.28515625" style="368" customWidth="1"/>
    <col min="7" max="7" width="25.5703125" style="368" customWidth="1"/>
    <col min="8" max="8" width="12.7109375" customWidth="1"/>
    <col min="9" max="9" width="14.85546875" style="300" customWidth="1"/>
    <col min="10" max="10" width="13.5703125" customWidth="1"/>
  </cols>
  <sheetData>
    <row r="1" spans="1:10" s="304" customFormat="1">
      <c r="A1" s="691"/>
      <c r="B1" s="691"/>
      <c r="C1" s="691"/>
      <c r="D1" s="691"/>
      <c r="E1" s="691"/>
      <c r="F1" s="691"/>
      <c r="G1" s="691"/>
      <c r="I1" s="300"/>
    </row>
    <row r="2" spans="1:10" s="304" customFormat="1">
      <c r="A2" s="691"/>
      <c r="B2" s="691"/>
      <c r="C2" s="691"/>
      <c r="D2" s="691"/>
      <c r="E2" s="691"/>
      <c r="F2" s="691"/>
      <c r="G2" s="691"/>
      <c r="I2" s="300"/>
    </row>
    <row r="3" spans="1:10" s="304" customFormat="1">
      <c r="A3" s="691"/>
      <c r="B3" s="691"/>
      <c r="C3" s="691"/>
      <c r="D3" s="691"/>
      <c r="E3" s="691"/>
      <c r="F3" s="691"/>
      <c r="G3" s="691"/>
      <c r="I3" s="300"/>
    </row>
    <row r="4" spans="1:10" s="304" customFormat="1" ht="65.25" customHeight="1" thickBot="1">
      <c r="A4" s="692"/>
      <c r="B4" s="692"/>
      <c r="C4" s="692"/>
      <c r="D4" s="692"/>
      <c r="E4" s="692"/>
      <c r="F4" s="692"/>
      <c r="G4" s="692"/>
      <c r="I4" s="300"/>
    </row>
    <row r="5" spans="1:10" s="282" customFormat="1">
      <c r="A5" s="703" t="s">
        <v>663</v>
      </c>
      <c r="B5" s="703"/>
      <c r="C5" s="703"/>
      <c r="D5" s="703"/>
      <c r="E5" s="703"/>
      <c r="F5" s="703"/>
      <c r="G5" s="703"/>
      <c r="H5" s="281"/>
      <c r="I5" s="280"/>
    </row>
    <row r="6" spans="1:10" s="282" customFormat="1" ht="20.25">
      <c r="A6" s="693" t="s">
        <v>656</v>
      </c>
      <c r="B6" s="694"/>
      <c r="C6" s="694"/>
      <c r="D6" s="694"/>
      <c r="E6" s="694"/>
      <c r="F6" s="694"/>
      <c r="G6" s="695"/>
      <c r="H6" s="281"/>
      <c r="I6" s="280"/>
    </row>
    <row r="7" spans="1:10" s="304" customFormat="1" ht="10.5" customHeight="1">
      <c r="A7" s="696"/>
      <c r="B7" s="696"/>
      <c r="C7" s="696"/>
      <c r="D7" s="696"/>
      <c r="E7" s="696"/>
      <c r="F7" s="696"/>
      <c r="G7" s="696"/>
      <c r="I7" s="300"/>
    </row>
    <row r="8" spans="1:10" ht="9.75" customHeight="1">
      <c r="A8" s="697"/>
      <c r="B8" s="698"/>
      <c r="C8" s="698"/>
      <c r="D8" s="698"/>
      <c r="E8" s="698"/>
      <c r="F8" s="698"/>
      <c r="G8" s="699"/>
    </row>
    <row r="9" spans="1:10" ht="19.5" customHeight="1">
      <c r="A9" s="700" t="s">
        <v>665</v>
      </c>
      <c r="B9" s="700"/>
      <c r="C9" s="701"/>
      <c r="D9" s="701"/>
      <c r="E9" s="701"/>
      <c r="F9" s="701"/>
      <c r="G9" s="701"/>
      <c r="J9" s="300"/>
    </row>
    <row r="10" spans="1:10" ht="26.25" customHeight="1" thickBot="1">
      <c r="A10" s="702" t="s">
        <v>664</v>
      </c>
      <c r="B10" s="702"/>
      <c r="C10" s="701"/>
      <c r="D10" s="701"/>
      <c r="E10" s="701"/>
      <c r="F10" s="701"/>
      <c r="G10" s="701"/>
      <c r="J10" s="300"/>
    </row>
    <row r="11" spans="1:10" s="304" customFormat="1" ht="18.75" customHeight="1">
      <c r="A11" s="710" t="s">
        <v>459</v>
      </c>
      <c r="B11" s="711"/>
      <c r="C11" s="711"/>
      <c r="D11" s="711"/>
      <c r="E11" s="711"/>
      <c r="F11" s="711"/>
      <c r="G11" s="712"/>
      <c r="H11" s="377"/>
      <c r="I11" s="388"/>
      <c r="J11" s="389"/>
    </row>
    <row r="12" spans="1:10" s="304" customFormat="1" ht="15" customHeight="1">
      <c r="A12" s="713"/>
      <c r="B12" s="714"/>
      <c r="C12" s="714"/>
      <c r="D12" s="714"/>
      <c r="E12" s="714"/>
      <c r="F12" s="714"/>
      <c r="G12" s="715"/>
      <c r="H12" s="377"/>
      <c r="I12" s="388"/>
      <c r="J12" s="389"/>
    </row>
    <row r="13" spans="1:10" s="304" customFormat="1" ht="18.75" customHeight="1">
      <c r="A13" s="704"/>
      <c r="B13" s="705"/>
      <c r="C13" s="705"/>
      <c r="D13" s="705"/>
      <c r="E13" s="705"/>
      <c r="F13" s="705"/>
      <c r="G13" s="706"/>
      <c r="H13" s="377"/>
      <c r="I13" s="388"/>
      <c r="J13" s="389"/>
    </row>
    <row r="14" spans="1:10" s="304" customFormat="1" ht="15.75" customHeight="1" thickBot="1">
      <c r="A14" s="707"/>
      <c r="B14" s="708"/>
      <c r="C14" s="708"/>
      <c r="D14" s="708"/>
      <c r="E14" s="708"/>
      <c r="F14" s="708"/>
      <c r="G14" s="709"/>
      <c r="H14" s="377"/>
      <c r="I14" s="388"/>
      <c r="J14" s="389"/>
    </row>
    <row r="15" spans="1:10" s="304" customFormat="1">
      <c r="A15" s="685" t="s">
        <v>440</v>
      </c>
      <c r="B15" s="686"/>
      <c r="C15" s="686"/>
      <c r="D15" s="686"/>
      <c r="E15" s="686"/>
      <c r="F15" s="686"/>
      <c r="G15" s="687"/>
      <c r="H15" s="377"/>
      <c r="I15" s="388"/>
      <c r="J15" s="389"/>
    </row>
    <row r="16" spans="1:10" s="304" customFormat="1" ht="24">
      <c r="A16" s="391" t="s">
        <v>378</v>
      </c>
      <c r="B16" s="391" t="s">
        <v>379</v>
      </c>
      <c r="C16" s="391" t="s">
        <v>392</v>
      </c>
      <c r="D16" s="398" t="s">
        <v>393</v>
      </c>
      <c r="E16" s="390" t="s">
        <v>380</v>
      </c>
      <c r="F16" s="390" t="s">
        <v>381</v>
      </c>
      <c r="G16" s="390" t="s">
        <v>396</v>
      </c>
      <c r="H16" s="377"/>
      <c r="I16" s="388"/>
      <c r="J16" s="389"/>
    </row>
    <row r="17" spans="1:10" s="304" customFormat="1">
      <c r="A17" s="364">
        <v>1</v>
      </c>
      <c r="B17" s="392" t="s">
        <v>441</v>
      </c>
      <c r="C17" s="393" t="s">
        <v>456</v>
      </c>
      <c r="D17" s="394">
        <f>'Servente 6h APUCARANA'!K98</f>
        <v>1661.98</v>
      </c>
      <c r="E17" s="392">
        <v>1</v>
      </c>
      <c r="F17" s="395">
        <f t="shared" ref="F17" si="0">D17*E17</f>
        <v>1661.98</v>
      </c>
      <c r="G17" s="395">
        <f t="shared" ref="G17" si="1">F17*12</f>
        <v>19943.760000000002</v>
      </c>
      <c r="H17" s="377"/>
      <c r="I17" s="388"/>
      <c r="J17" s="389"/>
    </row>
    <row r="18" spans="1:10" s="304" customFormat="1">
      <c r="A18" s="367">
        <v>2</v>
      </c>
      <c r="B18" s="369" t="s">
        <v>441</v>
      </c>
      <c r="C18" s="396" t="s">
        <v>442</v>
      </c>
      <c r="D18" s="397">
        <f>'Servente 6h CAMPO MOURÃO'!K98</f>
        <v>1679.16</v>
      </c>
      <c r="E18" s="369">
        <v>1</v>
      </c>
      <c r="F18" s="366">
        <f t="shared" ref="F18:F25" si="2">D18*E18</f>
        <v>1679.16</v>
      </c>
      <c r="G18" s="366">
        <f t="shared" ref="G18:G34" si="3">F18*12</f>
        <v>20149.920000000002</v>
      </c>
      <c r="H18" s="377"/>
      <c r="I18" s="388"/>
      <c r="J18" s="389"/>
    </row>
    <row r="19" spans="1:10" s="304" customFormat="1">
      <c r="A19" s="367">
        <v>3</v>
      </c>
      <c r="B19" s="392" t="s">
        <v>443</v>
      </c>
      <c r="C19" s="393" t="s">
        <v>427</v>
      </c>
      <c r="D19" s="394">
        <f>'Servente CASCAVEL'!K98</f>
        <v>3465.07</v>
      </c>
      <c r="E19" s="392">
        <v>1</v>
      </c>
      <c r="F19" s="395">
        <f t="shared" si="2"/>
        <v>3465.07</v>
      </c>
      <c r="G19" s="395">
        <f t="shared" si="3"/>
        <v>41580.840000000004</v>
      </c>
      <c r="H19" s="377"/>
      <c r="I19" s="388"/>
      <c r="J19" s="389"/>
    </row>
    <row r="20" spans="1:10" s="304" customFormat="1">
      <c r="A20" s="367">
        <v>4</v>
      </c>
      <c r="B20" s="392" t="s">
        <v>457</v>
      </c>
      <c r="C20" s="393" t="s">
        <v>427</v>
      </c>
      <c r="D20" s="394">
        <f>'Jardineiro 8h-1x mês CASCAVEL'!K100</f>
        <v>1020.31</v>
      </c>
      <c r="E20" s="392">
        <v>1</v>
      </c>
      <c r="F20" s="395">
        <f t="shared" si="2"/>
        <v>1020.31</v>
      </c>
      <c r="G20" s="395">
        <f t="shared" si="3"/>
        <v>12243.72</v>
      </c>
      <c r="H20" s="377"/>
      <c r="I20" s="388"/>
      <c r="J20" s="389"/>
    </row>
    <row r="21" spans="1:10" s="304" customFormat="1">
      <c r="A21" s="364">
        <v>5</v>
      </c>
      <c r="B21" s="369" t="s">
        <v>441</v>
      </c>
      <c r="C21" s="396" t="s">
        <v>444</v>
      </c>
      <c r="D21" s="397">
        <f>'Servente 6h FOZ DO IGUAÇU'!K98</f>
        <v>1698.19</v>
      </c>
      <c r="E21" s="369">
        <v>1</v>
      </c>
      <c r="F21" s="366">
        <f t="shared" si="2"/>
        <v>1698.19</v>
      </c>
      <c r="G21" s="366">
        <f t="shared" si="3"/>
        <v>20378.28</v>
      </c>
      <c r="H21" s="377"/>
      <c r="I21" s="388"/>
      <c r="J21" s="389"/>
    </row>
    <row r="22" spans="1:10" s="304" customFormat="1">
      <c r="A22" s="364">
        <v>6</v>
      </c>
      <c r="B22" s="392" t="s">
        <v>441</v>
      </c>
      <c r="C22" s="393" t="s">
        <v>445</v>
      </c>
      <c r="D22" s="394">
        <f>'Servente 6h FRANCISCO BELTRÃO'!K97</f>
        <v>1648.01</v>
      </c>
      <c r="E22" s="392">
        <v>1</v>
      </c>
      <c r="F22" s="395">
        <f t="shared" si="2"/>
        <v>1648.01</v>
      </c>
      <c r="G22" s="395">
        <f t="shared" si="3"/>
        <v>19776.12</v>
      </c>
      <c r="H22" s="377"/>
      <c r="I22" s="388"/>
      <c r="J22" s="389"/>
    </row>
    <row r="23" spans="1:10" s="304" customFormat="1">
      <c r="A23" s="367">
        <v>7</v>
      </c>
      <c r="B23" s="369" t="s">
        <v>441</v>
      </c>
      <c r="C23" s="396" t="s">
        <v>446</v>
      </c>
      <c r="D23" s="397">
        <f>'Servente 6h GUARAPUAVA'!K97</f>
        <v>1638.75</v>
      </c>
      <c r="E23" s="369">
        <v>1</v>
      </c>
      <c r="F23" s="366">
        <f t="shared" si="2"/>
        <v>1638.75</v>
      </c>
      <c r="G23" s="366">
        <f t="shared" si="3"/>
        <v>19665</v>
      </c>
      <c r="H23" s="377"/>
      <c r="I23" s="388"/>
      <c r="J23" s="389"/>
    </row>
    <row r="24" spans="1:10" s="304" customFormat="1">
      <c r="A24" s="367">
        <v>8</v>
      </c>
      <c r="B24" s="392" t="s">
        <v>443</v>
      </c>
      <c r="C24" s="393" t="s">
        <v>447</v>
      </c>
      <c r="D24" s="394">
        <f>'Servente LONDRINA'!K97</f>
        <v>3538</v>
      </c>
      <c r="E24" s="392">
        <v>1</v>
      </c>
      <c r="F24" s="395">
        <f t="shared" si="2"/>
        <v>3538</v>
      </c>
      <c r="G24" s="395">
        <f t="shared" si="3"/>
        <v>42456</v>
      </c>
      <c r="H24" s="377"/>
      <c r="I24" s="388"/>
      <c r="J24" s="389"/>
    </row>
    <row r="25" spans="1:10" s="304" customFormat="1">
      <c r="A25" s="367">
        <v>10</v>
      </c>
      <c r="B25" s="365" t="s">
        <v>443</v>
      </c>
      <c r="C25" s="364" t="s">
        <v>448</v>
      </c>
      <c r="D25" s="338">
        <f>'Servente MARINGÁ'!K97</f>
        <v>3218.11</v>
      </c>
      <c r="E25" s="365">
        <v>1</v>
      </c>
      <c r="F25" s="366">
        <f t="shared" si="2"/>
        <v>3218.11</v>
      </c>
      <c r="G25" s="366">
        <f t="shared" si="3"/>
        <v>38617.32</v>
      </c>
      <c r="H25" s="377"/>
      <c r="I25" s="388"/>
      <c r="J25" s="389"/>
    </row>
    <row r="26" spans="1:10" s="304" customFormat="1">
      <c r="A26" s="364">
        <v>11</v>
      </c>
      <c r="B26" s="365" t="s">
        <v>457</v>
      </c>
      <c r="C26" s="364" t="s">
        <v>448</v>
      </c>
      <c r="D26" s="338">
        <f>'Jardineiro 8h MARINGÁ'!K97</f>
        <v>1023.29</v>
      </c>
      <c r="E26" s="365">
        <v>1</v>
      </c>
      <c r="F26" s="366">
        <f t="shared" ref="F26:F34" si="4">D26*E26</f>
        <v>1023.29</v>
      </c>
      <c r="G26" s="366">
        <f t="shared" si="3"/>
        <v>12279.48</v>
      </c>
      <c r="H26" s="377"/>
      <c r="I26" s="388"/>
      <c r="J26" s="389"/>
    </row>
    <row r="27" spans="1:10" s="304" customFormat="1">
      <c r="A27" s="364">
        <v>9</v>
      </c>
      <c r="B27" s="365" t="s">
        <v>457</v>
      </c>
      <c r="C27" s="364" t="s">
        <v>447</v>
      </c>
      <c r="D27" s="338">
        <f>'Jardineiro 8h LONDRINA'!K100</f>
        <v>1022.5499999999998</v>
      </c>
      <c r="E27" s="365">
        <v>1</v>
      </c>
      <c r="F27" s="366">
        <f t="shared" ref="F27" si="5">D27*E27</f>
        <v>1022.5499999999998</v>
      </c>
      <c r="G27" s="366">
        <f t="shared" ref="G27" si="6">F27*12</f>
        <v>12270.599999999999</v>
      </c>
      <c r="H27" s="377"/>
      <c r="I27" s="388"/>
      <c r="J27" s="389"/>
    </row>
    <row r="28" spans="1:10" s="304" customFormat="1">
      <c r="A28" s="364">
        <v>12</v>
      </c>
      <c r="B28" s="392" t="s">
        <v>441</v>
      </c>
      <c r="C28" s="393" t="s">
        <v>449</v>
      </c>
      <c r="D28" s="394">
        <f>'Servente 6h PARANAVAÍ'!K97</f>
        <v>1678.82</v>
      </c>
      <c r="E28" s="392">
        <v>1</v>
      </c>
      <c r="F28" s="395">
        <f t="shared" si="4"/>
        <v>1678.82</v>
      </c>
      <c r="G28" s="395">
        <f t="shared" si="3"/>
        <v>20145.84</v>
      </c>
      <c r="H28" s="377"/>
      <c r="I28" s="388"/>
      <c r="J28" s="389"/>
    </row>
    <row r="29" spans="1:10" ht="26.25" customHeight="1">
      <c r="A29" s="367">
        <v>13</v>
      </c>
      <c r="B29" s="369" t="s">
        <v>441</v>
      </c>
      <c r="C29" s="396" t="s">
        <v>450</v>
      </c>
      <c r="D29" s="397">
        <f>'Servente 6h PATO BRANCO'!K97</f>
        <v>1613.2</v>
      </c>
      <c r="E29" s="369">
        <v>1</v>
      </c>
      <c r="F29" s="366">
        <f t="shared" si="4"/>
        <v>1613.2</v>
      </c>
      <c r="G29" s="366">
        <f t="shared" si="3"/>
        <v>19358.400000000001</v>
      </c>
    </row>
    <row r="30" spans="1:10" s="373" customFormat="1">
      <c r="A30" s="367">
        <v>14</v>
      </c>
      <c r="B30" s="392" t="s">
        <v>441</v>
      </c>
      <c r="C30" s="393" t="s">
        <v>451</v>
      </c>
      <c r="D30" s="394">
        <f>'Servente 6h PONTA GROSSA'!K97</f>
        <v>1677.24</v>
      </c>
      <c r="E30" s="392">
        <v>1</v>
      </c>
      <c r="F30" s="395">
        <f t="shared" si="4"/>
        <v>1677.24</v>
      </c>
      <c r="G30" s="395">
        <f t="shared" si="3"/>
        <v>20126.88</v>
      </c>
      <c r="H30" s="371"/>
      <c r="I30" s="372"/>
    </row>
    <row r="31" spans="1:10">
      <c r="A31" s="367">
        <v>15</v>
      </c>
      <c r="B31" s="365" t="s">
        <v>441</v>
      </c>
      <c r="C31" s="364" t="s">
        <v>452</v>
      </c>
      <c r="D31" s="338">
        <f>'Servente 6h RIO NEGRO'!K97</f>
        <v>1646.07</v>
      </c>
      <c r="E31" s="365">
        <v>1</v>
      </c>
      <c r="F31" s="366">
        <f t="shared" si="4"/>
        <v>1646.07</v>
      </c>
      <c r="G31" s="366">
        <f t="shared" si="3"/>
        <v>19752.84</v>
      </c>
    </row>
    <row r="32" spans="1:10">
      <c r="A32" s="364">
        <v>16</v>
      </c>
      <c r="B32" s="392" t="s">
        <v>441</v>
      </c>
      <c r="C32" s="393" t="s">
        <v>453</v>
      </c>
      <c r="D32" s="394">
        <f>'Servente 6h STO ANTONIO'!K97</f>
        <v>1647.23</v>
      </c>
      <c r="E32" s="392">
        <v>1</v>
      </c>
      <c r="F32" s="395">
        <f t="shared" si="4"/>
        <v>1647.23</v>
      </c>
      <c r="G32" s="395">
        <f t="shared" si="3"/>
        <v>19766.760000000002</v>
      </c>
    </row>
    <row r="33" spans="1:7">
      <c r="A33" s="364">
        <v>17</v>
      </c>
      <c r="B33" s="365" t="s">
        <v>441</v>
      </c>
      <c r="C33" s="364" t="s">
        <v>454</v>
      </c>
      <c r="D33" s="338">
        <f>'Servente 6h TOLEDO'!K97</f>
        <v>1644.41</v>
      </c>
      <c r="E33" s="365">
        <v>1</v>
      </c>
      <c r="F33" s="366">
        <f t="shared" si="4"/>
        <v>1644.41</v>
      </c>
      <c r="G33" s="366">
        <f t="shared" si="3"/>
        <v>19732.920000000002</v>
      </c>
    </row>
    <row r="34" spans="1:7">
      <c r="A34" s="367">
        <v>18</v>
      </c>
      <c r="B34" s="392" t="s">
        <v>441</v>
      </c>
      <c r="C34" s="393" t="s">
        <v>455</v>
      </c>
      <c r="D34" s="394">
        <f>'Servente 6h UMUARAMA'!K97</f>
        <v>1748.83</v>
      </c>
      <c r="E34" s="392">
        <v>1</v>
      </c>
      <c r="F34" s="395">
        <f t="shared" si="4"/>
        <v>1748.83</v>
      </c>
      <c r="G34" s="395">
        <f t="shared" si="3"/>
        <v>20985.96</v>
      </c>
    </row>
    <row r="35" spans="1:7">
      <c r="A35" s="688" t="s">
        <v>310</v>
      </c>
      <c r="B35" s="689"/>
      <c r="C35" s="689"/>
      <c r="D35" s="690"/>
      <c r="E35" s="370">
        <f>SUM(E17:E34)</f>
        <v>18</v>
      </c>
      <c r="F35" s="387">
        <f>SUM(F17:F34)</f>
        <v>33269.22</v>
      </c>
      <c r="G35" s="387">
        <f>SUM(G17:G34)</f>
        <v>399230.64000000013</v>
      </c>
    </row>
    <row r="36" spans="1:7">
      <c r="A36" s="304" t="s">
        <v>657</v>
      </c>
      <c r="B36" s="304"/>
      <c r="D36" s="304"/>
      <c r="E36" s="304"/>
      <c r="F36" s="304"/>
      <c r="G36" s="304"/>
    </row>
    <row r="37" spans="1:7">
      <c r="A37" s="304"/>
      <c r="B37" s="304"/>
      <c r="D37" s="304"/>
      <c r="E37" s="304"/>
      <c r="F37" s="304"/>
      <c r="G37" s="304"/>
    </row>
    <row r="38" spans="1:7">
      <c r="A38" s="304"/>
      <c r="B38" s="304"/>
      <c r="D38" s="304"/>
      <c r="E38" s="304"/>
      <c r="F38" s="304"/>
      <c r="G38" s="304"/>
    </row>
    <row r="39" spans="1:7">
      <c r="A39" s="304"/>
      <c r="B39" s="304"/>
      <c r="D39" s="304"/>
      <c r="E39" s="304"/>
      <c r="F39" s="304"/>
      <c r="G39" s="304"/>
    </row>
    <row r="40" spans="1:7">
      <c r="A40" s="304"/>
      <c r="B40" s="304"/>
      <c r="D40" s="304"/>
      <c r="E40" s="304"/>
      <c r="F40" s="304"/>
      <c r="G40" s="304"/>
    </row>
    <row r="41" spans="1:7">
      <c r="A41" s="304"/>
      <c r="B41" s="304"/>
      <c r="D41" s="304"/>
      <c r="E41" s="304"/>
      <c r="F41" s="304"/>
      <c r="G41" s="304"/>
    </row>
    <row r="42" spans="1:7" ht="15.75">
      <c r="A42" s="684"/>
      <c r="B42" s="684"/>
      <c r="C42" s="684"/>
      <c r="D42" s="684"/>
      <c r="E42" s="684"/>
      <c r="F42" s="684"/>
      <c r="G42" s="684"/>
    </row>
    <row r="43" spans="1:7" ht="15.75">
      <c r="A43" s="684"/>
      <c r="B43" s="684"/>
      <c r="C43" s="684"/>
      <c r="D43" s="684"/>
      <c r="E43" s="684"/>
      <c r="F43" s="684"/>
      <c r="G43" s="684"/>
    </row>
    <row r="44" spans="1:7">
      <c r="A44" s="304"/>
      <c r="B44" s="304"/>
      <c r="D44" s="304"/>
      <c r="E44" s="304"/>
      <c r="F44" s="304"/>
      <c r="G44" s="304"/>
    </row>
    <row r="51" spans="2:2">
      <c r="B51" s="334"/>
    </row>
  </sheetData>
  <mergeCells count="16">
    <mergeCell ref="A42:G42"/>
    <mergeCell ref="A43:G43"/>
    <mergeCell ref="A15:G15"/>
    <mergeCell ref="A35:D35"/>
    <mergeCell ref="A1:G4"/>
    <mergeCell ref="A6:G6"/>
    <mergeCell ref="A7:G7"/>
    <mergeCell ref="A8:G8"/>
    <mergeCell ref="A9:B9"/>
    <mergeCell ref="C9:G9"/>
    <mergeCell ref="A10:B10"/>
    <mergeCell ref="C10:G10"/>
    <mergeCell ref="A5:G5"/>
    <mergeCell ref="A13:G14"/>
    <mergeCell ref="A11:G11"/>
    <mergeCell ref="A12:G12"/>
  </mergeCells>
  <pageMargins left="0.51181102362204722" right="0.51181102362204722" top="1.24" bottom="0.39370078740157483" header="0.31496062992125984" footer="0.31496062992125984"/>
  <pageSetup paperSize="9" scale="74" orientation="portrait" r:id="rId1"/>
  <colBreaks count="1" manualBreakCount="1">
    <brk id="7" min="4" max="2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0"/>
  <sheetViews>
    <sheetView workbookViewId="0">
      <selection activeCell="H21" sqref="H21"/>
    </sheetView>
  </sheetViews>
  <sheetFormatPr defaultRowHeight="15"/>
  <cols>
    <col min="1" max="1" width="63" style="167" customWidth="1"/>
    <col min="2" max="2" width="16.42578125" style="167" customWidth="1"/>
    <col min="3" max="3" width="13.85546875" style="167" customWidth="1"/>
    <col min="4" max="4" width="14.140625" style="253" customWidth="1"/>
    <col min="5" max="5" width="14.5703125" style="167" customWidth="1"/>
    <col min="6" max="6" width="17.28515625" style="167" customWidth="1"/>
    <col min="7" max="7" width="8.5703125" style="249" customWidth="1"/>
    <col min="8" max="8" width="13.140625" style="167" customWidth="1"/>
    <col min="9" max="9" width="52.5703125" style="109" bestFit="1" customWidth="1"/>
  </cols>
  <sheetData>
    <row r="1" spans="1:8">
      <c r="A1" s="717" t="s">
        <v>221</v>
      </c>
      <c r="B1" s="717"/>
      <c r="C1" s="717"/>
      <c r="D1" s="717"/>
      <c r="E1" s="717"/>
      <c r="F1" s="717"/>
      <c r="G1" s="717"/>
    </row>
    <row r="2" spans="1:8">
      <c r="A2" s="716"/>
      <c r="B2" s="716"/>
      <c r="C2" s="716"/>
      <c r="D2" s="716"/>
      <c r="E2" s="716"/>
      <c r="F2" s="716"/>
      <c r="G2" s="716"/>
      <c r="H2" s="168"/>
    </row>
    <row r="3" spans="1:8" ht="25.5">
      <c r="A3" s="169" t="s">
        <v>222</v>
      </c>
      <c r="B3" s="170" t="s">
        <v>223</v>
      </c>
      <c r="C3" s="171" t="s">
        <v>224</v>
      </c>
      <c r="D3" s="172" t="s">
        <v>225</v>
      </c>
      <c r="E3" s="171" t="s">
        <v>226</v>
      </c>
      <c r="F3" s="171" t="s">
        <v>227</v>
      </c>
      <c r="G3" s="171" t="s">
        <v>228</v>
      </c>
      <c r="H3" s="173"/>
    </row>
    <row r="4" spans="1:8">
      <c r="A4" s="174" t="s">
        <v>53</v>
      </c>
      <c r="B4" s="175" t="s">
        <v>229</v>
      </c>
      <c r="C4" s="176">
        <f>1/750</f>
        <v>1.3333333333333333E-3</v>
      </c>
      <c r="D4" s="177">
        <f>[1]RESUMO!C6</f>
        <v>3494.93</v>
      </c>
      <c r="E4" s="178"/>
      <c r="F4" s="178"/>
      <c r="G4" s="172">
        <f>D4*C4</f>
        <v>4.6599066666666662</v>
      </c>
      <c r="H4" s="179"/>
    </row>
    <row r="5" spans="1:8">
      <c r="A5" s="174" t="s">
        <v>230</v>
      </c>
      <c r="B5" s="175" t="s">
        <v>231</v>
      </c>
      <c r="C5" s="176">
        <f>1/20/750</f>
        <v>6.666666666666667E-5</v>
      </c>
      <c r="D5" s="177">
        <f>[1]RESUMO!C10</f>
        <v>4232.68</v>
      </c>
      <c r="E5" s="178"/>
      <c r="F5" s="178"/>
      <c r="G5" s="172">
        <f>D5*C5</f>
        <v>0.28217866666666669</v>
      </c>
      <c r="H5" s="179"/>
    </row>
    <row r="6" spans="1:8">
      <c r="A6" s="180" t="s">
        <v>232</v>
      </c>
      <c r="B6" s="175"/>
      <c r="C6" s="181" t="s">
        <v>233</v>
      </c>
      <c r="D6" s="177"/>
      <c r="E6" s="177"/>
      <c r="F6" s="177"/>
      <c r="G6" s="182">
        <f>SUM(G4:G5)</f>
        <v>4.942085333333333</v>
      </c>
      <c r="H6" s="183"/>
    </row>
    <row r="7" spans="1:8">
      <c r="A7" s="716"/>
      <c r="B7" s="716"/>
      <c r="C7" s="716"/>
      <c r="D7" s="716"/>
      <c r="E7" s="716"/>
      <c r="F7" s="716"/>
      <c r="G7" s="716"/>
      <c r="H7" s="168"/>
    </row>
    <row r="8" spans="1:8" ht="25.5">
      <c r="A8" s="169" t="s">
        <v>234</v>
      </c>
      <c r="B8" s="170" t="s">
        <v>223</v>
      </c>
      <c r="C8" s="171" t="s">
        <v>224</v>
      </c>
      <c r="D8" s="172" t="s">
        <v>225</v>
      </c>
      <c r="E8" s="171" t="s">
        <v>226</v>
      </c>
      <c r="F8" s="171" t="s">
        <v>227</v>
      </c>
      <c r="G8" s="171" t="s">
        <v>228</v>
      </c>
      <c r="H8" s="173"/>
    </row>
    <row r="9" spans="1:8">
      <c r="A9" s="174" t="s">
        <v>53</v>
      </c>
      <c r="B9" s="175" t="s">
        <v>229</v>
      </c>
      <c r="C9" s="176">
        <v>1.333E-3</v>
      </c>
      <c r="D9" s="177">
        <f>D4</f>
        <v>3494.93</v>
      </c>
      <c r="E9" s="178"/>
      <c r="F9" s="178"/>
      <c r="G9" s="172">
        <f>D9*C9</f>
        <v>4.6587416899999994</v>
      </c>
      <c r="H9" s="179"/>
    </row>
    <row r="10" spans="1:8">
      <c r="A10" s="174" t="s">
        <v>230</v>
      </c>
      <c r="B10" s="175" t="s">
        <v>231</v>
      </c>
      <c r="C10" s="176">
        <v>6.6699999999999995E-5</v>
      </c>
      <c r="D10" s="177">
        <f>D5</f>
        <v>4232.68</v>
      </c>
      <c r="E10" s="178"/>
      <c r="F10" s="178"/>
      <c r="G10" s="172">
        <f>D10*C10</f>
        <v>0.28231975599999998</v>
      </c>
      <c r="H10" s="179"/>
    </row>
    <row r="11" spans="1:8">
      <c r="A11" s="180" t="s">
        <v>232</v>
      </c>
      <c r="B11" s="175"/>
      <c r="C11" s="181" t="s">
        <v>233</v>
      </c>
      <c r="D11" s="177"/>
      <c r="E11" s="177"/>
      <c r="F11" s="177"/>
      <c r="G11" s="182">
        <f>SUM(G9:G10)</f>
        <v>4.9410614459999991</v>
      </c>
      <c r="H11" s="183"/>
    </row>
    <row r="12" spans="1:8">
      <c r="A12" s="716"/>
      <c r="B12" s="716"/>
      <c r="C12" s="716"/>
      <c r="D12" s="716"/>
      <c r="E12" s="716"/>
      <c r="F12" s="716"/>
      <c r="G12" s="716"/>
      <c r="H12" s="168"/>
    </row>
    <row r="13" spans="1:8" ht="25.5">
      <c r="A13" s="169" t="s">
        <v>235</v>
      </c>
      <c r="B13" s="170" t="s">
        <v>223</v>
      </c>
      <c r="C13" s="171" t="s">
        <v>236</v>
      </c>
      <c r="D13" s="172" t="s">
        <v>225</v>
      </c>
      <c r="E13" s="171" t="s">
        <v>226</v>
      </c>
      <c r="F13" s="171" t="s">
        <v>227</v>
      </c>
      <c r="G13" s="171" t="s">
        <v>228</v>
      </c>
      <c r="H13" s="168"/>
    </row>
    <row r="14" spans="1:8">
      <c r="A14" s="174" t="s">
        <v>53</v>
      </c>
      <c r="B14" s="175" t="s">
        <v>237</v>
      </c>
      <c r="C14" s="176">
        <v>8.8889999999999998E-4</v>
      </c>
      <c r="D14" s="177">
        <f>[1]RESUMO!C8</f>
        <v>7816.46</v>
      </c>
      <c r="E14" s="178"/>
      <c r="F14" s="177"/>
      <c r="G14" s="172">
        <f>D14*C14</f>
        <v>6.9480512939999999</v>
      </c>
      <c r="H14" s="168"/>
    </row>
    <row r="15" spans="1:8">
      <c r="A15" s="174" t="s">
        <v>230</v>
      </c>
      <c r="B15" s="175" t="s">
        <v>238</v>
      </c>
      <c r="C15" s="176">
        <v>4.4400000000000002E-5</v>
      </c>
      <c r="D15" s="177">
        <f>[1]RESUMO!C12</f>
        <v>9704.58</v>
      </c>
      <c r="E15" s="178"/>
      <c r="F15" s="177"/>
      <c r="G15" s="172">
        <f>D15*C15</f>
        <v>0.430883352</v>
      </c>
      <c r="H15" s="184"/>
    </row>
    <row r="16" spans="1:8">
      <c r="A16" s="185" t="s">
        <v>232</v>
      </c>
      <c r="B16" s="186" t="s">
        <v>239</v>
      </c>
      <c r="C16" s="718"/>
      <c r="D16" s="718"/>
      <c r="E16" s="718"/>
      <c r="F16" s="718"/>
      <c r="G16" s="182">
        <f>SUM(G14:G15)</f>
        <v>7.3789346460000003</v>
      </c>
      <c r="H16" s="168"/>
    </row>
    <row r="17" spans="1:8">
      <c r="A17" s="716"/>
      <c r="B17" s="716"/>
      <c r="C17" s="716"/>
      <c r="D17" s="716"/>
      <c r="E17" s="716"/>
      <c r="F17" s="716"/>
      <c r="G17" s="716"/>
      <c r="H17" s="168"/>
    </row>
    <row r="18" spans="1:8" ht="25.5">
      <c r="A18" s="169" t="s">
        <v>240</v>
      </c>
      <c r="B18" s="170" t="s">
        <v>223</v>
      </c>
      <c r="C18" s="171" t="s">
        <v>236</v>
      </c>
      <c r="D18" s="172" t="s">
        <v>225</v>
      </c>
      <c r="E18" s="171" t="s">
        <v>226</v>
      </c>
      <c r="F18" s="171" t="s">
        <v>227</v>
      </c>
      <c r="G18" s="171" t="s">
        <v>228</v>
      </c>
      <c r="H18" s="168"/>
    </row>
    <row r="19" spans="1:8">
      <c r="A19" s="174" t="s">
        <v>53</v>
      </c>
      <c r="B19" s="175" t="s">
        <v>237</v>
      </c>
      <c r="C19" s="176">
        <v>8.8889999999999998E-4</v>
      </c>
      <c r="D19" s="177">
        <f>D14</f>
        <v>7816.46</v>
      </c>
      <c r="E19" s="178"/>
      <c r="F19" s="177"/>
      <c r="G19" s="172">
        <f>D19*C19</f>
        <v>6.9480512939999999</v>
      </c>
      <c r="H19" s="168"/>
    </row>
    <row r="20" spans="1:8">
      <c r="A20" s="174" t="s">
        <v>230</v>
      </c>
      <c r="B20" s="175" t="s">
        <v>238</v>
      </c>
      <c r="C20" s="176">
        <v>4.4400000000000002E-5</v>
      </c>
      <c r="D20" s="177">
        <f>D15</f>
        <v>9704.58</v>
      </c>
      <c r="E20" s="178"/>
      <c r="F20" s="177"/>
      <c r="G20" s="172">
        <f>D20*C20</f>
        <v>0.430883352</v>
      </c>
      <c r="H20" s="184"/>
    </row>
    <row r="21" spans="1:8">
      <c r="A21" s="185" t="s">
        <v>232</v>
      </c>
      <c r="B21" s="186" t="s">
        <v>239</v>
      </c>
      <c r="C21" s="718"/>
      <c r="D21" s="718"/>
      <c r="E21" s="718"/>
      <c r="F21" s="718"/>
      <c r="G21" s="182">
        <f>SUM(G19:G20)</f>
        <v>7.3789346460000003</v>
      </c>
      <c r="H21" s="168"/>
    </row>
    <row r="22" spans="1:8">
      <c r="A22" s="716"/>
      <c r="B22" s="716"/>
      <c r="C22" s="716"/>
      <c r="D22" s="716"/>
      <c r="E22" s="716"/>
      <c r="F22" s="716"/>
      <c r="G22" s="716"/>
      <c r="H22" s="168"/>
    </row>
    <row r="23" spans="1:8" ht="25.5">
      <c r="A23" s="187" t="s">
        <v>241</v>
      </c>
      <c r="B23" s="170" t="s">
        <v>223</v>
      </c>
      <c r="C23" s="171" t="s">
        <v>224</v>
      </c>
      <c r="D23" s="172" t="s">
        <v>225</v>
      </c>
      <c r="E23" s="171" t="s">
        <v>226</v>
      </c>
      <c r="F23" s="171" t="s">
        <v>227</v>
      </c>
      <c r="G23" s="171" t="s">
        <v>228</v>
      </c>
      <c r="H23" s="168"/>
    </row>
    <row r="24" spans="1:8">
      <c r="A24" s="174" t="s">
        <v>53</v>
      </c>
      <c r="B24" s="175" t="s">
        <v>229</v>
      </c>
      <c r="C24" s="176">
        <v>1.333E-3</v>
      </c>
      <c r="D24" s="177">
        <f>D9</f>
        <v>3494.93</v>
      </c>
      <c r="E24" s="178"/>
      <c r="F24" s="177"/>
      <c r="G24" s="172">
        <f>D24*C24</f>
        <v>4.6587416899999994</v>
      </c>
      <c r="H24" s="168"/>
    </row>
    <row r="25" spans="1:8">
      <c r="A25" s="174" t="s">
        <v>230</v>
      </c>
      <c r="B25" s="175" t="s">
        <v>231</v>
      </c>
      <c r="C25" s="176">
        <v>6.6699999999999995E-5</v>
      </c>
      <c r="D25" s="177">
        <f>D10</f>
        <v>4232.68</v>
      </c>
      <c r="E25" s="178"/>
      <c r="F25" s="177"/>
      <c r="G25" s="172">
        <f>D25*C25</f>
        <v>0.28231975599999998</v>
      </c>
      <c r="H25" s="184"/>
    </row>
    <row r="26" spans="1:8">
      <c r="A26" s="185" t="s">
        <v>232</v>
      </c>
      <c r="B26" s="186" t="s">
        <v>239</v>
      </c>
      <c r="C26" s="718"/>
      <c r="D26" s="718"/>
      <c r="E26" s="718"/>
      <c r="F26" s="718"/>
      <c r="G26" s="182">
        <f>SUM(G24:G25)</f>
        <v>4.9410614459999991</v>
      </c>
      <c r="H26" s="168"/>
    </row>
    <row r="27" spans="1:8">
      <c r="A27" s="716"/>
      <c r="B27" s="716"/>
      <c r="C27" s="716"/>
      <c r="D27" s="716"/>
      <c r="E27" s="716"/>
      <c r="F27" s="716"/>
      <c r="G27" s="716"/>
      <c r="H27" s="168"/>
    </row>
    <row r="28" spans="1:8" ht="25.5">
      <c r="A28" s="169" t="s">
        <v>242</v>
      </c>
      <c r="B28" s="170" t="s">
        <v>223</v>
      </c>
      <c r="C28" s="171" t="s">
        <v>224</v>
      </c>
      <c r="D28" s="172" t="s">
        <v>225</v>
      </c>
      <c r="E28" s="171" t="s">
        <v>226</v>
      </c>
      <c r="F28" s="171" t="s">
        <v>227</v>
      </c>
      <c r="G28" s="171" t="s">
        <v>228</v>
      </c>
      <c r="H28" s="168"/>
    </row>
    <row r="29" spans="1:8">
      <c r="A29" s="174" t="s">
        <v>53</v>
      </c>
      <c r="B29" s="175" t="s">
        <v>229</v>
      </c>
      <c r="C29" s="176">
        <v>1.333E-3</v>
      </c>
      <c r="D29" s="178">
        <f>D24</f>
        <v>3494.93</v>
      </c>
      <c r="E29" s="178"/>
      <c r="F29" s="178"/>
      <c r="G29" s="172">
        <f>D29*C29</f>
        <v>4.6587416899999994</v>
      </c>
      <c r="H29" s="168"/>
    </row>
    <row r="30" spans="1:8">
      <c r="A30" s="174" t="s">
        <v>230</v>
      </c>
      <c r="B30" s="175" t="s">
        <v>231</v>
      </c>
      <c r="C30" s="176">
        <v>6.6699999999999995E-5</v>
      </c>
      <c r="D30" s="178">
        <f>D25</f>
        <v>4232.68</v>
      </c>
      <c r="E30" s="178"/>
      <c r="F30" s="178"/>
      <c r="G30" s="172">
        <f>D30*C30</f>
        <v>0.28231975599999998</v>
      </c>
      <c r="H30" s="184"/>
    </row>
    <row r="31" spans="1:8">
      <c r="A31" s="185" t="s">
        <v>232</v>
      </c>
      <c r="B31" s="186" t="s">
        <v>243</v>
      </c>
      <c r="C31" s="720"/>
      <c r="D31" s="720"/>
      <c r="E31" s="720"/>
      <c r="F31" s="720"/>
      <c r="G31" s="182">
        <f>SUM(G29:G30)</f>
        <v>4.9410614459999991</v>
      </c>
      <c r="H31" s="168"/>
    </row>
    <row r="32" spans="1:8">
      <c r="A32" s="716"/>
      <c r="B32" s="716"/>
      <c r="C32" s="716"/>
      <c r="D32" s="716"/>
      <c r="E32" s="716"/>
      <c r="F32" s="716"/>
      <c r="G32" s="716"/>
      <c r="H32" s="168"/>
    </row>
    <row r="33" spans="1:9" ht="25.5">
      <c r="A33" s="169" t="s">
        <v>244</v>
      </c>
      <c r="B33" s="170" t="s">
        <v>223</v>
      </c>
      <c r="C33" s="171" t="s">
        <v>236</v>
      </c>
      <c r="D33" s="172" t="s">
        <v>225</v>
      </c>
      <c r="E33" s="171" t="s">
        <v>226</v>
      </c>
      <c r="F33" s="171" t="s">
        <v>227</v>
      </c>
      <c r="G33" s="171" t="s">
        <v>228</v>
      </c>
      <c r="H33" s="168"/>
    </row>
    <row r="34" spans="1:9">
      <c r="A34" s="174" t="s">
        <v>53</v>
      </c>
      <c r="B34" s="175" t="s">
        <v>237</v>
      </c>
      <c r="C34" s="176">
        <v>8.8889999999999998E-4</v>
      </c>
      <c r="D34" s="177">
        <f>D19</f>
        <v>7816.46</v>
      </c>
      <c r="E34" s="178"/>
      <c r="F34" s="178"/>
      <c r="G34" s="172">
        <f>D34*C34</f>
        <v>6.9480512939999999</v>
      </c>
      <c r="H34" s="168"/>
    </row>
    <row r="35" spans="1:9">
      <c r="A35" s="174" t="s">
        <v>230</v>
      </c>
      <c r="B35" s="175" t="s">
        <v>238</v>
      </c>
      <c r="C35" s="176">
        <v>4.4400000000000002E-5</v>
      </c>
      <c r="D35" s="177">
        <f>D20</f>
        <v>9704.58</v>
      </c>
      <c r="E35" s="178"/>
      <c r="F35" s="188"/>
      <c r="G35" s="172">
        <f>D35*C35</f>
        <v>0.430883352</v>
      </c>
      <c r="H35" s="184"/>
    </row>
    <row r="36" spans="1:9">
      <c r="A36" s="185" t="s">
        <v>232</v>
      </c>
      <c r="B36" s="186" t="s">
        <v>243</v>
      </c>
      <c r="C36" s="718"/>
      <c r="D36" s="718"/>
      <c r="E36" s="718"/>
      <c r="F36" s="718"/>
      <c r="G36" s="182">
        <f>SUM(G34:G35)</f>
        <v>7.3789346460000003</v>
      </c>
      <c r="H36" s="168"/>
    </row>
    <row r="37" spans="1:9">
      <c r="A37" s="716"/>
      <c r="B37" s="716"/>
      <c r="C37" s="716"/>
      <c r="D37" s="716"/>
      <c r="E37" s="716"/>
      <c r="F37" s="716"/>
      <c r="G37" s="716"/>
      <c r="H37" s="168"/>
    </row>
    <row r="38" spans="1:9" ht="25.5">
      <c r="A38" s="169" t="s">
        <v>245</v>
      </c>
      <c r="B38" s="170" t="s">
        <v>223</v>
      </c>
      <c r="C38" s="171" t="s">
        <v>236</v>
      </c>
      <c r="D38" s="172" t="s">
        <v>225</v>
      </c>
      <c r="E38" s="171" t="s">
        <v>226</v>
      </c>
      <c r="F38" s="171" t="s">
        <v>227</v>
      </c>
      <c r="G38" s="171" t="s">
        <v>228</v>
      </c>
      <c r="H38" s="168"/>
    </row>
    <row r="39" spans="1:9">
      <c r="A39" s="174" t="s">
        <v>53</v>
      </c>
      <c r="B39" s="175" t="s">
        <v>237</v>
      </c>
      <c r="C39" s="176">
        <v>8.8889999999999998E-4</v>
      </c>
      <c r="D39" s="177">
        <f>D34</f>
        <v>7816.46</v>
      </c>
      <c r="E39" s="178"/>
      <c r="F39" s="189"/>
      <c r="G39" s="172">
        <f>D39*C39</f>
        <v>6.9480512939999999</v>
      </c>
      <c r="H39" s="168"/>
    </row>
    <row r="40" spans="1:9">
      <c r="A40" s="174" t="s">
        <v>230</v>
      </c>
      <c r="B40" s="175" t="s">
        <v>238</v>
      </c>
      <c r="C40" s="176">
        <v>4.4400000000000002E-5</v>
      </c>
      <c r="D40" s="177">
        <f>D35</f>
        <v>9704.58</v>
      </c>
      <c r="E40" s="178"/>
      <c r="F40" s="189"/>
      <c r="G40" s="172">
        <f>D40*C40</f>
        <v>0.430883352</v>
      </c>
      <c r="H40" s="168"/>
    </row>
    <row r="41" spans="1:9">
      <c r="A41" s="185" t="s">
        <v>232</v>
      </c>
      <c r="B41" s="186" t="s">
        <v>243</v>
      </c>
      <c r="C41" s="718"/>
      <c r="D41" s="718"/>
      <c r="E41" s="718"/>
      <c r="F41" s="718"/>
      <c r="G41" s="182">
        <f>SUM(G39:G40)</f>
        <v>7.3789346460000003</v>
      </c>
      <c r="H41" s="168"/>
      <c r="I41" s="190"/>
    </row>
    <row r="42" spans="1:9">
      <c r="A42" s="716"/>
      <c r="B42" s="716"/>
      <c r="C42" s="716"/>
      <c r="D42" s="716"/>
      <c r="E42" s="716"/>
      <c r="F42" s="716"/>
      <c r="G42" s="716"/>
      <c r="H42" s="168"/>
    </row>
    <row r="43" spans="1:9" ht="25.5">
      <c r="A43" s="191" t="s">
        <v>291</v>
      </c>
      <c r="B43" s="192" t="s">
        <v>223</v>
      </c>
      <c r="C43" s="193" t="s">
        <v>224</v>
      </c>
      <c r="D43" s="194" t="s">
        <v>225</v>
      </c>
      <c r="E43" s="193" t="s">
        <v>226</v>
      </c>
      <c r="F43" s="193" t="s">
        <v>246</v>
      </c>
      <c r="G43" s="193" t="s">
        <v>228</v>
      </c>
      <c r="H43" s="195"/>
      <c r="I43" s="196"/>
    </row>
    <row r="44" spans="1:9">
      <c r="A44" s="197" t="s">
        <v>53</v>
      </c>
      <c r="B44" s="198" t="s">
        <v>247</v>
      </c>
      <c r="C44" s="199">
        <v>5.9239999999999998E-4</v>
      </c>
      <c r="D44" s="200">
        <f>[1]RESUMO!C6</f>
        <v>3494.93</v>
      </c>
      <c r="E44" s="201">
        <f>D44/173.81</f>
        <v>20.107761348599045</v>
      </c>
      <c r="F44" s="202">
        <v>17.399999999999999</v>
      </c>
      <c r="G44" s="194">
        <f>F44*E44*C44</f>
        <v>0.20726597811863529</v>
      </c>
      <c r="H44" s="195"/>
      <c r="I44" s="196"/>
    </row>
    <row r="45" spans="1:9">
      <c r="A45" s="197" t="s">
        <v>230</v>
      </c>
      <c r="B45" s="198" t="s">
        <v>248</v>
      </c>
      <c r="C45" s="199">
        <v>2.9600000000000001E-5</v>
      </c>
      <c r="D45" s="200">
        <f>[1]RESUMO!C10</f>
        <v>4232.68</v>
      </c>
      <c r="E45" s="201">
        <f>D45/173.81</f>
        <v>24.352338760715725</v>
      </c>
      <c r="F45" s="202">
        <v>17.399999999999999</v>
      </c>
      <c r="G45" s="194">
        <f>F45*E45*C45</f>
        <v>1.2542428555319026E-2</v>
      </c>
      <c r="H45" s="195"/>
      <c r="I45" s="196"/>
    </row>
    <row r="46" spans="1:9">
      <c r="A46" s="203" t="s">
        <v>232</v>
      </c>
      <c r="B46" s="204" t="s">
        <v>243</v>
      </c>
      <c r="C46" s="721"/>
      <c r="D46" s="721"/>
      <c r="E46" s="721"/>
      <c r="F46" s="721"/>
      <c r="G46" s="205">
        <f>SUM(G44:G45)</f>
        <v>0.21980840667395432</v>
      </c>
      <c r="H46" s="195"/>
      <c r="I46" s="196"/>
    </row>
    <row r="47" spans="1:9">
      <c r="A47" s="719"/>
      <c r="B47" s="719"/>
      <c r="C47" s="719"/>
      <c r="D47" s="719"/>
      <c r="E47" s="719"/>
      <c r="F47" s="719"/>
      <c r="G47" s="719"/>
      <c r="H47" s="206"/>
      <c r="I47" s="136"/>
    </row>
    <row r="48" spans="1:9" ht="25.5">
      <c r="A48" s="191" t="s">
        <v>249</v>
      </c>
      <c r="B48" s="192" t="s">
        <v>223</v>
      </c>
      <c r="C48" s="193" t="s">
        <v>236</v>
      </c>
      <c r="D48" s="194" t="s">
        <v>225</v>
      </c>
      <c r="E48" s="193" t="s">
        <v>250</v>
      </c>
      <c r="F48" s="193" t="s">
        <v>246</v>
      </c>
      <c r="G48" s="193" t="s">
        <v>228</v>
      </c>
      <c r="H48" s="207"/>
      <c r="I48" s="196"/>
    </row>
    <row r="49" spans="1:9">
      <c r="A49" s="197" t="s">
        <v>53</v>
      </c>
      <c r="B49" s="208" t="s">
        <v>251</v>
      </c>
      <c r="C49" s="199">
        <v>3.949E-4</v>
      </c>
      <c r="D49" s="209">
        <f>D39</f>
        <v>7816.46</v>
      </c>
      <c r="E49" s="201">
        <f>D49/365</f>
        <v>21.414958904109589</v>
      </c>
      <c r="F49" s="210">
        <v>26.1</v>
      </c>
      <c r="G49" s="194">
        <f>F49*E49*C49</f>
        <v>0.22072162577917812</v>
      </c>
      <c r="H49" s="207"/>
      <c r="I49" s="196"/>
    </row>
    <row r="50" spans="1:9">
      <c r="A50" s="197" t="s">
        <v>230</v>
      </c>
      <c r="B50" s="198" t="s">
        <v>252</v>
      </c>
      <c r="C50" s="199">
        <v>1.9700000000000001E-5</v>
      </c>
      <c r="D50" s="209">
        <f>D40</f>
        <v>9704.58</v>
      </c>
      <c r="E50" s="201">
        <f>D50/365</f>
        <v>26.587890410958902</v>
      </c>
      <c r="F50" s="210">
        <v>26.1</v>
      </c>
      <c r="G50" s="194">
        <f>F50*E50*C50</f>
        <v>1.3670695612602739E-2</v>
      </c>
      <c r="H50" s="211"/>
      <c r="I50" s="196"/>
    </row>
    <row r="51" spans="1:9">
      <c r="A51" s="203" t="s">
        <v>232</v>
      </c>
      <c r="B51" s="212"/>
      <c r="C51" s="213"/>
      <c r="D51" s="209"/>
      <c r="E51" s="214"/>
      <c r="F51" s="214"/>
      <c r="G51" s="205">
        <f>SUM(G49:G50)</f>
        <v>0.23439232139178084</v>
      </c>
      <c r="H51" s="211"/>
      <c r="I51" s="196"/>
    </row>
    <row r="52" spans="1:9">
      <c r="A52" s="719"/>
      <c r="B52" s="719"/>
      <c r="C52" s="719"/>
      <c r="D52" s="719"/>
      <c r="E52" s="719"/>
      <c r="F52" s="719"/>
      <c r="G52" s="719"/>
      <c r="H52" s="206"/>
      <c r="I52" s="136"/>
    </row>
    <row r="53" spans="1:9" ht="25.5">
      <c r="A53" s="215" t="s">
        <v>253</v>
      </c>
      <c r="B53" s="192" t="s">
        <v>223</v>
      </c>
      <c r="C53" s="193" t="s">
        <v>224</v>
      </c>
      <c r="D53" s="194" t="s">
        <v>225</v>
      </c>
      <c r="E53" s="193" t="s">
        <v>250</v>
      </c>
      <c r="F53" s="193" t="s">
        <v>246</v>
      </c>
      <c r="G53" s="193" t="s">
        <v>228</v>
      </c>
      <c r="H53" s="211"/>
      <c r="I53" s="196"/>
    </row>
    <row r="54" spans="1:9">
      <c r="A54" s="197" t="s">
        <v>53</v>
      </c>
      <c r="B54" s="198" t="s">
        <v>254</v>
      </c>
      <c r="C54" s="199">
        <v>6.667E-4</v>
      </c>
      <c r="D54" s="216">
        <f>D44</f>
        <v>3494.93</v>
      </c>
      <c r="E54" s="201">
        <f>D54/173.81</f>
        <v>20.107761348599045</v>
      </c>
      <c r="F54" s="202">
        <v>17.399999999999999</v>
      </c>
      <c r="G54" s="194">
        <f>F54*E54*C54</f>
        <v>0.2332616941453311</v>
      </c>
      <c r="H54" s="211"/>
      <c r="I54" s="196"/>
    </row>
    <row r="55" spans="1:9">
      <c r="A55" s="197" t="s">
        <v>230</v>
      </c>
      <c r="B55" s="198" t="s">
        <v>255</v>
      </c>
      <c r="C55" s="199">
        <v>3.3300000000000003E-5</v>
      </c>
      <c r="D55" s="200">
        <f>D45</f>
        <v>4232.68</v>
      </c>
      <c r="E55" s="201">
        <f>D55/173.81</f>
        <v>24.352338760715725</v>
      </c>
      <c r="F55" s="202">
        <v>17.399999999999999</v>
      </c>
      <c r="G55" s="194">
        <f>F55*E55*C55</f>
        <v>1.4110232124733906E-2</v>
      </c>
      <c r="H55" s="217"/>
      <c r="I55" s="196"/>
    </row>
    <row r="56" spans="1:9">
      <c r="A56" s="203" t="s">
        <v>232</v>
      </c>
      <c r="B56" s="218"/>
      <c r="C56" s="219"/>
      <c r="D56" s="216"/>
      <c r="E56" s="220"/>
      <c r="F56" s="220"/>
      <c r="G56" s="205">
        <f>SUM(G54:G55)</f>
        <v>0.24737192627006502</v>
      </c>
      <c r="H56" s="217"/>
      <c r="I56" s="196"/>
    </row>
    <row r="57" spans="1:9">
      <c r="A57" s="716"/>
      <c r="B57" s="716"/>
      <c r="C57" s="716"/>
      <c r="D57" s="716"/>
      <c r="E57" s="716"/>
      <c r="F57" s="716"/>
      <c r="G57" s="716"/>
      <c r="H57" s="168"/>
    </row>
    <row r="58" spans="1:9" ht="25.5">
      <c r="A58" s="221" t="s">
        <v>256</v>
      </c>
      <c r="B58" s="170" t="s">
        <v>223</v>
      </c>
      <c r="C58" s="171" t="s">
        <v>236</v>
      </c>
      <c r="D58" s="172" t="s">
        <v>225</v>
      </c>
      <c r="E58" s="171" t="s">
        <v>250</v>
      </c>
      <c r="F58" s="171" t="s">
        <v>227</v>
      </c>
      <c r="G58" s="171" t="s">
        <v>228</v>
      </c>
      <c r="H58" s="222"/>
    </row>
    <row r="59" spans="1:9">
      <c r="A59" s="174" t="s">
        <v>53</v>
      </c>
      <c r="B59" s="175" t="s">
        <v>254</v>
      </c>
      <c r="C59" s="176">
        <v>6.667E-4</v>
      </c>
      <c r="D59" s="223">
        <f>D49</f>
        <v>7816.46</v>
      </c>
      <c r="E59" s="178"/>
      <c r="F59" s="224"/>
      <c r="G59" s="172">
        <f>D59*C59</f>
        <v>5.2112338820000002</v>
      </c>
      <c r="H59" s="222"/>
    </row>
    <row r="60" spans="1:9">
      <c r="A60" s="174" t="s">
        <v>230</v>
      </c>
      <c r="B60" s="175" t="s">
        <v>255</v>
      </c>
      <c r="C60" s="176">
        <v>3.3300000000000003E-5</v>
      </c>
      <c r="D60" s="177">
        <f>D50</f>
        <v>9704.58</v>
      </c>
      <c r="E60" s="178"/>
      <c r="F60" s="224"/>
      <c r="G60" s="172">
        <f>D60*C60</f>
        <v>0.32316251400000001</v>
      </c>
      <c r="H60" s="222"/>
    </row>
    <row r="61" spans="1:9">
      <c r="A61" s="185" t="s">
        <v>232</v>
      </c>
      <c r="B61" s="225"/>
      <c r="C61" s="226"/>
      <c r="D61" s="223"/>
      <c r="E61" s="227"/>
      <c r="F61" s="227"/>
      <c r="G61" s="182">
        <f>SUM(G59:G60)</f>
        <v>5.534396396</v>
      </c>
      <c r="H61" s="222"/>
    </row>
    <row r="62" spans="1:9">
      <c r="A62" s="716"/>
      <c r="B62" s="716"/>
      <c r="C62" s="716"/>
      <c r="D62" s="716"/>
      <c r="E62" s="716"/>
      <c r="F62" s="716"/>
      <c r="G62" s="716"/>
      <c r="H62" s="222"/>
    </row>
    <row r="63" spans="1:9" ht="25.5">
      <c r="A63" s="228" t="s">
        <v>257</v>
      </c>
      <c r="B63" s="192" t="s">
        <v>223</v>
      </c>
      <c r="C63" s="193" t="s">
        <v>224</v>
      </c>
      <c r="D63" s="194" t="s">
        <v>225</v>
      </c>
      <c r="E63" s="193" t="s">
        <v>250</v>
      </c>
      <c r="F63" s="193" t="s">
        <v>258</v>
      </c>
      <c r="G63" s="193" t="s">
        <v>228</v>
      </c>
      <c r="H63" s="211"/>
      <c r="I63" s="196"/>
    </row>
    <row r="64" spans="1:9">
      <c r="A64" s="197" t="s">
        <v>53</v>
      </c>
      <c r="B64" s="198" t="s">
        <v>254</v>
      </c>
      <c r="C64" s="199">
        <v>6.667E-4</v>
      </c>
      <c r="D64" s="216">
        <f>D54</f>
        <v>3494.93</v>
      </c>
      <c r="E64" s="201">
        <f>D64/173.81</f>
        <v>20.107761348599045</v>
      </c>
      <c r="F64" s="229">
        <v>34.799999999999997</v>
      </c>
      <c r="G64" s="194">
        <f>F64*E64*C64</f>
        <v>0.4665233882906622</v>
      </c>
      <c r="H64" s="211"/>
      <c r="I64" s="196"/>
    </row>
    <row r="65" spans="1:9">
      <c r="A65" s="197" t="s">
        <v>230</v>
      </c>
      <c r="B65" s="198" t="s">
        <v>255</v>
      </c>
      <c r="C65" s="199">
        <v>3.3300000000000003E-5</v>
      </c>
      <c r="D65" s="200">
        <f>D55</f>
        <v>4232.68</v>
      </c>
      <c r="E65" s="201">
        <f>D65/173.81</f>
        <v>24.352338760715725</v>
      </c>
      <c r="F65" s="229">
        <v>34.799999999999997</v>
      </c>
      <c r="G65" s="194">
        <f>F65*E65*C65</f>
        <v>2.8220464249467812E-2</v>
      </c>
      <c r="H65" s="211"/>
      <c r="I65" s="196"/>
    </row>
    <row r="66" spans="1:9">
      <c r="A66" s="203" t="s">
        <v>232</v>
      </c>
      <c r="B66" s="218"/>
      <c r="C66" s="219"/>
      <c r="D66" s="216"/>
      <c r="E66" s="220"/>
      <c r="F66" s="220"/>
      <c r="G66" s="205">
        <f>SUM(G64:G65)</f>
        <v>0.49474385254013004</v>
      </c>
      <c r="H66" s="211"/>
      <c r="I66" s="196"/>
    </row>
    <row r="67" spans="1:9">
      <c r="A67" s="719"/>
      <c r="B67" s="719"/>
      <c r="C67" s="719"/>
      <c r="D67" s="719"/>
      <c r="E67" s="719"/>
      <c r="F67" s="719"/>
      <c r="G67" s="719"/>
      <c r="H67" s="230"/>
      <c r="I67" s="136"/>
    </row>
    <row r="68" spans="1:9" ht="25.5">
      <c r="A68" s="215" t="s">
        <v>259</v>
      </c>
      <c r="B68" s="192" t="s">
        <v>223</v>
      </c>
      <c r="C68" s="193" t="s">
        <v>236</v>
      </c>
      <c r="D68" s="194" t="s">
        <v>225</v>
      </c>
      <c r="E68" s="193" t="s">
        <v>250</v>
      </c>
      <c r="F68" s="193" t="s">
        <v>227</v>
      </c>
      <c r="G68" s="193" t="s">
        <v>228</v>
      </c>
      <c r="H68" s="211"/>
      <c r="I68" s="196"/>
    </row>
    <row r="69" spans="1:9">
      <c r="A69" s="197" t="s">
        <v>53</v>
      </c>
      <c r="B69" s="208" t="s">
        <v>260</v>
      </c>
      <c r="C69" s="231">
        <f>1/2250</f>
        <v>4.4444444444444447E-4</v>
      </c>
      <c r="D69" s="216">
        <f>D59</f>
        <v>7816.46</v>
      </c>
      <c r="E69" s="201">
        <f>D69/365</f>
        <v>21.414958904109589</v>
      </c>
      <c r="F69" s="229">
        <v>52.1</v>
      </c>
      <c r="G69" s="194">
        <f>F69*E69*C69</f>
        <v>0.49587527062404874</v>
      </c>
      <c r="H69" s="211"/>
      <c r="I69" s="196"/>
    </row>
    <row r="70" spans="1:9">
      <c r="A70" s="197" t="s">
        <v>230</v>
      </c>
      <c r="B70" s="198" t="s">
        <v>261</v>
      </c>
      <c r="C70" s="231">
        <f>1/20/2250</f>
        <v>2.2222222222222223E-5</v>
      </c>
      <c r="D70" s="200">
        <f>D60</f>
        <v>9704.58</v>
      </c>
      <c r="E70" s="201">
        <f>D70/365</f>
        <v>26.587890410958902</v>
      </c>
      <c r="F70" s="229">
        <v>52.1</v>
      </c>
      <c r="G70" s="194">
        <f>F70*E70*C70</f>
        <v>3.0782868675799088E-2</v>
      </c>
      <c r="H70" s="211"/>
      <c r="I70" s="196"/>
    </row>
    <row r="71" spans="1:9">
      <c r="A71" s="203" t="s">
        <v>232</v>
      </c>
      <c r="B71" s="218"/>
      <c r="C71" s="219"/>
      <c r="D71" s="216"/>
      <c r="E71" s="220"/>
      <c r="F71" s="220"/>
      <c r="G71" s="205">
        <f>SUM(G69:G70)</f>
        <v>0.52665813929984784</v>
      </c>
      <c r="H71" s="211"/>
      <c r="I71" s="196"/>
    </row>
    <row r="72" spans="1:9">
      <c r="A72" s="716"/>
      <c r="B72" s="716"/>
      <c r="C72" s="716"/>
      <c r="D72" s="716"/>
      <c r="E72" s="716"/>
      <c r="F72" s="716"/>
      <c r="G72" s="716"/>
      <c r="H72" s="222"/>
    </row>
    <row r="73" spans="1:9" ht="25.5">
      <c r="A73" s="228" t="s">
        <v>262</v>
      </c>
      <c r="B73" s="192" t="s">
        <v>223</v>
      </c>
      <c r="C73" s="193" t="s">
        <v>236</v>
      </c>
      <c r="D73" s="194" t="s">
        <v>225</v>
      </c>
      <c r="E73" s="193" t="s">
        <v>250</v>
      </c>
      <c r="F73" s="193" t="s">
        <v>263</v>
      </c>
      <c r="G73" s="193" t="s">
        <v>228</v>
      </c>
      <c r="H73" s="211"/>
      <c r="I73" s="196"/>
    </row>
    <row r="74" spans="1:9">
      <c r="A74" s="197" t="s">
        <v>53</v>
      </c>
      <c r="B74" s="208" t="s">
        <v>260</v>
      </c>
      <c r="C74" s="231">
        <f>1/2250</f>
        <v>4.4444444444444447E-4</v>
      </c>
      <c r="D74" s="216">
        <f>D69</f>
        <v>7816.46</v>
      </c>
      <c r="E74" s="201">
        <f>D74/365</f>
        <v>21.414958904109589</v>
      </c>
      <c r="F74" s="202">
        <v>1</v>
      </c>
      <c r="G74" s="194">
        <f>F74*E74*C74</f>
        <v>9.5177595129375958E-3</v>
      </c>
      <c r="H74" s="211"/>
      <c r="I74" s="196"/>
    </row>
    <row r="75" spans="1:9">
      <c r="A75" s="197" t="s">
        <v>230</v>
      </c>
      <c r="B75" s="198" t="s">
        <v>261</v>
      </c>
      <c r="C75" s="231">
        <f>1/20/2250</f>
        <v>2.2222222222222223E-5</v>
      </c>
      <c r="D75" s="200">
        <f>D70</f>
        <v>9704.58</v>
      </c>
      <c r="E75" s="201">
        <f>D75/365</f>
        <v>26.587890410958902</v>
      </c>
      <c r="F75" s="202">
        <v>1</v>
      </c>
      <c r="G75" s="232">
        <f>F75*E75*C75</f>
        <v>5.9084200913242003E-4</v>
      </c>
      <c r="H75" s="211"/>
      <c r="I75" s="196"/>
    </row>
    <row r="76" spans="1:9">
      <c r="A76" s="203" t="s">
        <v>232</v>
      </c>
      <c r="B76" s="218"/>
      <c r="C76" s="219"/>
      <c r="D76" s="216"/>
      <c r="E76" s="220"/>
      <c r="F76" s="220"/>
      <c r="G76" s="233">
        <f>SUM(G74:G75)</f>
        <v>1.0108601522070016E-2</v>
      </c>
      <c r="H76" s="211"/>
      <c r="I76" s="196"/>
    </row>
    <row r="77" spans="1:9">
      <c r="A77" s="234"/>
      <c r="B77" s="234"/>
      <c r="C77" s="234"/>
      <c r="D77" s="234"/>
      <c r="E77" s="234"/>
      <c r="F77" s="234"/>
      <c r="G77" s="234"/>
      <c r="H77" s="222"/>
    </row>
    <row r="78" spans="1:9" ht="25.5">
      <c r="A78" s="235" t="s">
        <v>264</v>
      </c>
      <c r="B78" s="170" t="s">
        <v>223</v>
      </c>
      <c r="C78" s="171" t="s">
        <v>236</v>
      </c>
      <c r="D78" s="172" t="s">
        <v>225</v>
      </c>
      <c r="E78" s="171" t="s">
        <v>250</v>
      </c>
      <c r="F78" s="171" t="s">
        <v>227</v>
      </c>
      <c r="G78" s="171" t="s">
        <v>228</v>
      </c>
      <c r="H78" s="222"/>
    </row>
    <row r="79" spans="1:9">
      <c r="A79" s="174" t="s">
        <v>53</v>
      </c>
      <c r="B79" s="236" t="s">
        <v>260</v>
      </c>
      <c r="C79" s="237">
        <v>4.4443999999999999E-4</v>
      </c>
      <c r="D79" s="223">
        <f>D59</f>
        <v>7816.46</v>
      </c>
      <c r="E79" s="178"/>
      <c r="F79" s="238"/>
      <c r="G79" s="172">
        <f>D79*C79</f>
        <v>3.4739474823999998</v>
      </c>
      <c r="H79" s="222"/>
    </row>
    <row r="80" spans="1:9">
      <c r="A80" s="174" t="s">
        <v>230</v>
      </c>
      <c r="B80" s="175" t="s">
        <v>265</v>
      </c>
      <c r="C80" s="237">
        <v>2.2220000000000001E-5</v>
      </c>
      <c r="D80" s="177">
        <f>D60</f>
        <v>9704.58</v>
      </c>
      <c r="E80" s="178"/>
      <c r="F80" s="238"/>
      <c r="G80" s="172">
        <f>D80*C80</f>
        <v>0.2156357676</v>
      </c>
      <c r="H80" s="222"/>
    </row>
    <row r="81" spans="1:8">
      <c r="A81" s="185" t="s">
        <v>232</v>
      </c>
      <c r="B81" s="225"/>
      <c r="C81" s="226"/>
      <c r="D81" s="223"/>
      <c r="E81" s="227"/>
      <c r="F81" s="227"/>
      <c r="G81" s="182">
        <f>SUM(G79:G80)</f>
        <v>3.6895832499999996</v>
      </c>
      <c r="H81" s="222"/>
    </row>
    <row r="82" spans="1:8">
      <c r="A82" s="234"/>
      <c r="B82" s="234"/>
      <c r="C82" s="234"/>
      <c r="D82" s="234"/>
      <c r="E82" s="234"/>
      <c r="F82" s="234"/>
      <c r="G82" s="234"/>
      <c r="H82" s="222"/>
    </row>
    <row r="83" spans="1:8" ht="25.5">
      <c r="A83" s="235" t="s">
        <v>266</v>
      </c>
      <c r="B83" s="170" t="s">
        <v>223</v>
      </c>
      <c r="C83" s="171" t="s">
        <v>224</v>
      </c>
      <c r="D83" s="172" t="s">
        <v>225</v>
      </c>
      <c r="E83" s="171" t="s">
        <v>250</v>
      </c>
      <c r="F83" s="171" t="s">
        <v>227</v>
      </c>
      <c r="G83" s="171" t="s">
        <v>228</v>
      </c>
      <c r="H83" s="222"/>
    </row>
    <row r="84" spans="1:8">
      <c r="A84" s="174" t="s">
        <v>53</v>
      </c>
      <c r="B84" s="175" t="s">
        <v>267</v>
      </c>
      <c r="C84" s="237">
        <f>1/125000</f>
        <v>7.9999999999999996E-6</v>
      </c>
      <c r="D84" s="223">
        <f>D29</f>
        <v>3494.93</v>
      </c>
      <c r="E84" s="178"/>
      <c r="F84" s="238"/>
      <c r="G84" s="172">
        <f>D84*C84</f>
        <v>2.7959439999999999E-2</v>
      </c>
      <c r="H84" s="222"/>
    </row>
    <row r="85" spans="1:8">
      <c r="A85" s="174" t="s">
        <v>230</v>
      </c>
      <c r="B85" s="175" t="s">
        <v>268</v>
      </c>
      <c r="C85" s="237">
        <f>1/20/125000</f>
        <v>4.0000000000000003E-7</v>
      </c>
      <c r="D85" s="177">
        <f>D30</f>
        <v>4232.68</v>
      </c>
      <c r="E85" s="178"/>
      <c r="F85" s="238"/>
      <c r="G85" s="172">
        <f>D85*C85</f>
        <v>1.6930720000000003E-3</v>
      </c>
      <c r="H85" s="222"/>
    </row>
    <row r="86" spans="1:8">
      <c r="A86" s="185" t="s">
        <v>232</v>
      </c>
      <c r="B86" s="225"/>
      <c r="C86" s="226"/>
      <c r="D86" s="223"/>
      <c r="E86" s="227"/>
      <c r="F86" s="227"/>
      <c r="G86" s="182">
        <f>SUM(G84:G85)</f>
        <v>2.9652511999999999E-2</v>
      </c>
      <c r="H86" s="222"/>
    </row>
    <row r="87" spans="1:8">
      <c r="A87" s="234"/>
      <c r="B87" s="234"/>
      <c r="C87" s="234"/>
      <c r="D87" s="234"/>
      <c r="E87" s="234"/>
      <c r="F87" s="234"/>
      <c r="G87" s="234"/>
      <c r="H87" s="222"/>
    </row>
    <row r="88" spans="1:8" ht="25.5">
      <c r="A88" s="235" t="s">
        <v>269</v>
      </c>
      <c r="B88" s="170" t="s">
        <v>223</v>
      </c>
      <c r="C88" s="171" t="s">
        <v>236</v>
      </c>
      <c r="D88" s="172" t="s">
        <v>225</v>
      </c>
      <c r="E88" s="171" t="s">
        <v>250</v>
      </c>
      <c r="F88" s="171" t="s">
        <v>227</v>
      </c>
      <c r="G88" s="171" t="s">
        <v>228</v>
      </c>
      <c r="H88" s="222"/>
    </row>
    <row r="89" spans="1:8">
      <c r="A89" s="174" t="s">
        <v>53</v>
      </c>
      <c r="B89" s="175" t="s">
        <v>270</v>
      </c>
      <c r="C89" s="237">
        <f>1/187500</f>
        <v>5.3333333333333337E-6</v>
      </c>
      <c r="D89" s="223">
        <f>D79</f>
        <v>7816.46</v>
      </c>
      <c r="E89" s="178"/>
      <c r="F89" s="238"/>
      <c r="G89" s="172">
        <f>D89*C89</f>
        <v>4.1687786666666671E-2</v>
      </c>
      <c r="H89" s="222"/>
    </row>
    <row r="90" spans="1:8">
      <c r="A90" s="174" t="s">
        <v>230</v>
      </c>
      <c r="B90" s="175" t="s">
        <v>271</v>
      </c>
      <c r="C90" s="237">
        <f>1/20/187500</f>
        <v>2.6666666666666667E-7</v>
      </c>
      <c r="D90" s="177">
        <f>D80</f>
        <v>9704.58</v>
      </c>
      <c r="E90" s="178"/>
      <c r="F90" s="238"/>
      <c r="G90" s="172">
        <f>D90*C90</f>
        <v>2.587888E-3</v>
      </c>
      <c r="H90" s="222"/>
    </row>
    <row r="91" spans="1:8">
      <c r="A91" s="185" t="s">
        <v>232</v>
      </c>
      <c r="B91" s="225"/>
      <c r="C91" s="226"/>
      <c r="D91" s="223"/>
      <c r="E91" s="227"/>
      <c r="F91" s="227"/>
      <c r="G91" s="239">
        <f>SUM(G89:G90)</f>
        <v>4.4275674666666667E-2</v>
      </c>
      <c r="H91" s="222"/>
    </row>
    <row r="92" spans="1:8">
      <c r="A92" s="234"/>
      <c r="B92" s="234"/>
      <c r="C92" s="234"/>
      <c r="D92" s="234"/>
      <c r="E92" s="234"/>
      <c r="F92" s="234"/>
      <c r="G92" s="234"/>
      <c r="H92" s="222"/>
    </row>
    <row r="93" spans="1:8" ht="25.5">
      <c r="A93" s="221" t="s">
        <v>272</v>
      </c>
      <c r="B93" s="170" t="s">
        <v>223</v>
      </c>
      <c r="C93" s="171" t="s">
        <v>224</v>
      </c>
      <c r="D93" s="172" t="s">
        <v>225</v>
      </c>
      <c r="E93" s="171" t="s">
        <v>250</v>
      </c>
      <c r="F93" s="171" t="s">
        <v>273</v>
      </c>
      <c r="G93" s="171" t="s">
        <v>228</v>
      </c>
      <c r="H93" s="222"/>
    </row>
    <row r="94" spans="1:8">
      <c r="A94" s="174" t="s">
        <v>53</v>
      </c>
      <c r="B94" s="175" t="s">
        <v>274</v>
      </c>
      <c r="C94" s="237">
        <f>1/275</f>
        <v>3.6363636363636364E-3</v>
      </c>
      <c r="D94" s="223">
        <f>[1]RESUMO!C7</f>
        <v>3551.21</v>
      </c>
      <c r="E94" s="178">
        <f>D94/173.81</f>
        <v>20.43156320119671</v>
      </c>
      <c r="F94" s="238">
        <v>2.67</v>
      </c>
      <c r="G94" s="172">
        <f>F94*E94*C94</f>
        <v>0.19837190453525533</v>
      </c>
      <c r="H94" s="222"/>
    </row>
    <row r="95" spans="1:8">
      <c r="A95" s="174" t="s">
        <v>230</v>
      </c>
      <c r="B95" s="175" t="s">
        <v>275</v>
      </c>
      <c r="C95" s="237">
        <f>1/4/275</f>
        <v>9.0909090909090909E-4</v>
      </c>
      <c r="D95" s="177">
        <f>[1]RESUMO!C11</f>
        <v>4921.16</v>
      </c>
      <c r="E95" s="178">
        <f>D95/173.81</f>
        <v>28.313445716587076</v>
      </c>
      <c r="F95" s="238">
        <v>2.67</v>
      </c>
      <c r="G95" s="172">
        <f>F95*E95*C95</f>
        <v>6.8724454602988636E-2</v>
      </c>
      <c r="H95" s="222"/>
    </row>
    <row r="96" spans="1:8">
      <c r="A96" s="185" t="s">
        <v>232</v>
      </c>
      <c r="B96" s="225"/>
      <c r="C96" s="226"/>
      <c r="D96" s="223"/>
      <c r="E96" s="227"/>
      <c r="F96" s="227"/>
      <c r="G96" s="182">
        <f>SUM(G94:G95)</f>
        <v>0.26709635913824398</v>
      </c>
      <c r="H96" s="222"/>
    </row>
    <row r="97" spans="1:8">
      <c r="A97" s="234"/>
      <c r="B97" s="234"/>
      <c r="C97" s="234"/>
      <c r="D97" s="234"/>
      <c r="E97" s="234"/>
      <c r="F97" s="234"/>
      <c r="G97" s="234"/>
      <c r="H97" s="222"/>
    </row>
    <row r="98" spans="1:8" ht="25.5">
      <c r="A98" s="221" t="s">
        <v>276</v>
      </c>
      <c r="B98" s="170" t="s">
        <v>223</v>
      </c>
      <c r="C98" s="171" t="s">
        <v>236</v>
      </c>
      <c r="D98" s="172" t="s">
        <v>225</v>
      </c>
      <c r="E98" s="171" t="s">
        <v>250</v>
      </c>
      <c r="F98" s="171" t="s">
        <v>273</v>
      </c>
      <c r="G98" s="171" t="s">
        <v>228</v>
      </c>
      <c r="H98" s="222"/>
    </row>
    <row r="99" spans="1:8">
      <c r="A99" s="174" t="s">
        <v>53</v>
      </c>
      <c r="B99" s="175" t="s">
        <v>277</v>
      </c>
      <c r="C99" s="237">
        <f>1/412.5</f>
        <v>2.4242424242424242E-3</v>
      </c>
      <c r="D99" s="223">
        <f>[1]RESUMO!C9</f>
        <v>7954.16</v>
      </c>
      <c r="E99" s="178">
        <f>D99/365</f>
        <v>21.792219178082192</v>
      </c>
      <c r="F99" s="240">
        <v>4</v>
      </c>
      <c r="G99" s="172">
        <f>F99*E99*C99</f>
        <v>0.21131848899958489</v>
      </c>
      <c r="H99" s="222"/>
    </row>
    <row r="100" spans="1:8">
      <c r="A100" s="174" t="s">
        <v>230</v>
      </c>
      <c r="B100" s="175" t="s">
        <v>278</v>
      </c>
      <c r="C100" s="237">
        <f>1/4/412.5</f>
        <v>6.0606060606060606E-4</v>
      </c>
      <c r="D100" s="177">
        <f>D90</f>
        <v>9704.58</v>
      </c>
      <c r="E100" s="178">
        <f>D100/365</f>
        <v>26.587890410958902</v>
      </c>
      <c r="F100" s="240">
        <v>4</v>
      </c>
      <c r="G100" s="172">
        <f>F100*E100*C100</f>
        <v>6.445549190535492E-2</v>
      </c>
      <c r="H100" s="222"/>
    </row>
    <row r="101" spans="1:8">
      <c r="A101" s="185" t="s">
        <v>232</v>
      </c>
      <c r="B101" s="225"/>
      <c r="C101" s="226"/>
      <c r="D101" s="223"/>
      <c r="E101" s="227"/>
      <c r="F101" s="227"/>
      <c r="G101" s="182">
        <f>SUM(G99:G100)</f>
        <v>0.27577398090493982</v>
      </c>
      <c r="H101" s="222"/>
    </row>
    <row r="102" spans="1:8">
      <c r="A102" s="716"/>
      <c r="B102" s="716"/>
      <c r="C102" s="716"/>
      <c r="D102" s="716"/>
      <c r="E102" s="716"/>
      <c r="F102" s="716"/>
      <c r="G102" s="716"/>
      <c r="H102" s="222"/>
    </row>
    <row r="103" spans="1:8" ht="25.5">
      <c r="A103" s="221" t="s">
        <v>279</v>
      </c>
      <c r="B103" s="170" t="s">
        <v>223</v>
      </c>
      <c r="C103" s="171" t="s">
        <v>224</v>
      </c>
      <c r="D103" s="172" t="s">
        <v>225</v>
      </c>
      <c r="E103" s="171" t="s">
        <v>250</v>
      </c>
      <c r="F103" s="171" t="s">
        <v>273</v>
      </c>
      <c r="G103" s="171" t="s">
        <v>228</v>
      </c>
      <c r="H103" s="222"/>
    </row>
    <row r="104" spans="1:8">
      <c r="A104" s="174" t="s">
        <v>53</v>
      </c>
      <c r="B104" s="175" t="s">
        <v>280</v>
      </c>
      <c r="C104" s="237">
        <f>1/138</f>
        <v>7.246376811594203E-3</v>
      </c>
      <c r="D104" s="223">
        <f>D94</f>
        <v>3551.21</v>
      </c>
      <c r="E104" s="178">
        <f>D104/173.81</f>
        <v>20.43156320119671</v>
      </c>
      <c r="F104" s="238">
        <v>2.67</v>
      </c>
      <c r="G104" s="172">
        <f>F104*E104*C104</f>
        <v>0.39530633150141459</v>
      </c>
      <c r="H104" s="222"/>
    </row>
    <row r="105" spans="1:8">
      <c r="A105" s="174" t="s">
        <v>230</v>
      </c>
      <c r="B105" s="175" t="s">
        <v>281</v>
      </c>
      <c r="C105" s="237">
        <f>1/4/138</f>
        <v>1.8115942028985507E-3</v>
      </c>
      <c r="D105" s="177">
        <f>D95</f>
        <v>4921.16</v>
      </c>
      <c r="E105" s="178">
        <f>D105/173.81</f>
        <v>28.313445716587076</v>
      </c>
      <c r="F105" s="238">
        <v>2.67</v>
      </c>
      <c r="G105" s="172">
        <f>F105*E105*C105</f>
        <v>0.13695090591175271</v>
      </c>
      <c r="H105" s="222"/>
    </row>
    <row r="106" spans="1:8">
      <c r="A106" s="185" t="s">
        <v>232</v>
      </c>
      <c r="B106" s="225"/>
      <c r="C106" s="226"/>
      <c r="D106" s="223"/>
      <c r="E106" s="227"/>
      <c r="F106" s="227"/>
      <c r="G106" s="182">
        <f>SUM(G104:G105)</f>
        <v>0.53225723741316733</v>
      </c>
      <c r="H106" s="222"/>
    </row>
    <row r="107" spans="1:8">
      <c r="A107" s="716"/>
      <c r="B107" s="716"/>
      <c r="C107" s="716"/>
      <c r="D107" s="716"/>
      <c r="E107" s="716"/>
      <c r="F107" s="716"/>
      <c r="G107" s="716"/>
      <c r="H107" s="222"/>
    </row>
    <row r="108" spans="1:8" ht="25.5">
      <c r="A108" s="221" t="s">
        <v>282</v>
      </c>
      <c r="B108" s="170" t="s">
        <v>223</v>
      </c>
      <c r="C108" s="171" t="s">
        <v>236</v>
      </c>
      <c r="D108" s="172" t="s">
        <v>225</v>
      </c>
      <c r="E108" s="171" t="s">
        <v>250</v>
      </c>
      <c r="F108" s="171" t="s">
        <v>273</v>
      </c>
      <c r="G108" s="171" t="s">
        <v>228</v>
      </c>
      <c r="H108" s="222"/>
    </row>
    <row r="109" spans="1:8">
      <c r="A109" s="174" t="s">
        <v>53</v>
      </c>
      <c r="B109" s="175" t="s">
        <v>283</v>
      </c>
      <c r="C109" s="237">
        <f>1/207</f>
        <v>4.830917874396135E-3</v>
      </c>
      <c r="D109" s="223">
        <f>D99</f>
        <v>7954.16</v>
      </c>
      <c r="E109" s="178">
        <f>D109/365</f>
        <v>21.792219178082192</v>
      </c>
      <c r="F109" s="224">
        <v>4</v>
      </c>
      <c r="G109" s="172">
        <f>F109*E109*C109</f>
        <v>0.42110568460062203</v>
      </c>
      <c r="H109" s="222"/>
    </row>
    <row r="110" spans="1:8">
      <c r="A110" s="174" t="s">
        <v>230</v>
      </c>
      <c r="B110" s="175" t="s">
        <v>284</v>
      </c>
      <c r="C110" s="237">
        <f>1/4/207</f>
        <v>1.2077294685990338E-3</v>
      </c>
      <c r="D110" s="177">
        <f>D100</f>
        <v>9704.58</v>
      </c>
      <c r="E110" s="178">
        <f>D110/365</f>
        <v>26.587890410958902</v>
      </c>
      <c r="F110" s="224">
        <v>4</v>
      </c>
      <c r="G110" s="172">
        <f>F110*E110*C110</f>
        <v>0.12844391502878696</v>
      </c>
      <c r="H110" s="222"/>
    </row>
    <row r="111" spans="1:8">
      <c r="A111" s="185" t="s">
        <v>232</v>
      </c>
      <c r="B111" s="225"/>
      <c r="C111" s="226"/>
      <c r="D111" s="223"/>
      <c r="E111" s="227"/>
      <c r="F111" s="227"/>
      <c r="G111" s="182">
        <f>SUM(G109:G110)</f>
        <v>0.54954959962940897</v>
      </c>
      <c r="H111" s="222"/>
    </row>
    <row r="112" spans="1:8">
      <c r="A112" s="716"/>
      <c r="B112" s="716"/>
      <c r="C112" s="716"/>
      <c r="D112" s="716"/>
      <c r="E112" s="716"/>
      <c r="F112" s="716"/>
      <c r="G112" s="716"/>
      <c r="H112" s="222"/>
    </row>
    <row r="113" spans="1:8">
      <c r="A113" s="241"/>
      <c r="B113" s="242"/>
      <c r="C113" s="242"/>
      <c r="D113" s="242"/>
      <c r="E113" s="242"/>
      <c r="F113" s="242"/>
      <c r="G113" s="243"/>
      <c r="H113" s="222"/>
    </row>
    <row r="114" spans="1:8">
      <c r="A114" s="244"/>
      <c r="B114" s="245"/>
      <c r="C114" s="246"/>
      <c r="D114" s="247"/>
      <c r="E114" s="246"/>
      <c r="F114" s="246"/>
      <c r="G114" s="243"/>
    </row>
    <row r="115" spans="1:8">
      <c r="A115" s="244" t="s">
        <v>285</v>
      </c>
      <c r="B115" s="245"/>
      <c r="C115" s="246"/>
      <c r="D115" s="247"/>
      <c r="E115" s="246"/>
      <c r="F115" s="246"/>
      <c r="G115" s="243"/>
    </row>
    <row r="116" spans="1:8">
      <c r="A116" s="246" t="s">
        <v>286</v>
      </c>
      <c r="B116" s="222">
        <v>52.14</v>
      </c>
      <c r="C116" s="248"/>
      <c r="D116" s="167"/>
      <c r="E116" s="109"/>
      <c r="F116" s="249"/>
      <c r="G116" s="109"/>
    </row>
    <row r="117" spans="1:8">
      <c r="A117" s="246" t="s">
        <v>287</v>
      </c>
      <c r="B117" s="222">
        <v>4.3499999999999996</v>
      </c>
      <c r="C117" s="248"/>
      <c r="D117" s="250"/>
      <c r="E117" s="109"/>
      <c r="F117" s="249"/>
      <c r="G117" s="109"/>
    </row>
    <row r="118" spans="1:8">
      <c r="A118" s="246" t="s">
        <v>288</v>
      </c>
      <c r="B118" s="251">
        <v>173.81</v>
      </c>
      <c r="C118" s="252"/>
      <c r="D118" s="250"/>
      <c r="E118" s="109"/>
      <c r="F118" s="249"/>
      <c r="G118" s="109"/>
    </row>
    <row r="119" spans="1:8">
      <c r="A119" s="246" t="s">
        <v>289</v>
      </c>
      <c r="B119" s="251">
        <v>191.19</v>
      </c>
      <c r="C119" s="252"/>
      <c r="D119" s="250"/>
      <c r="E119" s="109"/>
      <c r="F119" s="249"/>
      <c r="G119" s="109"/>
    </row>
    <row r="120" spans="1:8">
      <c r="A120" s="246" t="s">
        <v>290</v>
      </c>
      <c r="B120" s="251">
        <v>182.5</v>
      </c>
      <c r="C120" s="252"/>
      <c r="D120" s="250"/>
      <c r="E120" s="109"/>
      <c r="F120" s="249"/>
      <c r="G120" s="109"/>
    </row>
  </sheetData>
  <mergeCells count="26">
    <mergeCell ref="A107:G107"/>
    <mergeCell ref="A112:G112"/>
    <mergeCell ref="A52:G52"/>
    <mergeCell ref="A57:G57"/>
    <mergeCell ref="A62:G62"/>
    <mergeCell ref="A67:G67"/>
    <mergeCell ref="A72:G72"/>
    <mergeCell ref="A102:G102"/>
    <mergeCell ref="A47:G47"/>
    <mergeCell ref="C21:F21"/>
    <mergeCell ref="A22:G22"/>
    <mergeCell ref="C26:F26"/>
    <mergeCell ref="A27:G27"/>
    <mergeCell ref="C31:F31"/>
    <mergeCell ref="A32:G32"/>
    <mergeCell ref="C36:F36"/>
    <mergeCell ref="A37:G37"/>
    <mergeCell ref="C41:F41"/>
    <mergeCell ref="A42:G42"/>
    <mergeCell ref="C46:F46"/>
    <mergeCell ref="A17:G17"/>
    <mergeCell ref="A1:G1"/>
    <mergeCell ref="A2:G2"/>
    <mergeCell ref="A7:G7"/>
    <mergeCell ref="A12:G12"/>
    <mergeCell ref="C16:F16"/>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61"/>
  <sheetViews>
    <sheetView workbookViewId="0">
      <selection activeCell="J17" sqref="J17"/>
    </sheetView>
  </sheetViews>
  <sheetFormatPr defaultRowHeight="15"/>
  <cols>
    <col min="1" max="2" width="15.7109375" style="256" customWidth="1"/>
    <col min="3" max="4" width="11.7109375" style="256" customWidth="1"/>
    <col min="5" max="5" width="12" style="256" customWidth="1"/>
    <col min="6" max="6" width="12.7109375" style="256" customWidth="1"/>
    <col min="7" max="9" width="15.7109375" style="256" customWidth="1"/>
    <col min="10" max="15" width="9.140625" style="256"/>
  </cols>
  <sheetData>
    <row r="1" spans="1:9">
      <c r="A1" s="254"/>
      <c r="B1" s="254"/>
      <c r="C1" s="254"/>
      <c r="D1" s="254"/>
      <c r="E1" s="254"/>
      <c r="F1" s="254"/>
      <c r="G1" s="254"/>
      <c r="H1" s="254"/>
      <c r="I1" s="255" t="s">
        <v>292</v>
      </c>
    </row>
    <row r="2" spans="1:9" ht="26.25">
      <c r="A2" s="815" t="s">
        <v>293</v>
      </c>
      <c r="B2" s="815"/>
      <c r="C2" s="815"/>
      <c r="D2" s="815"/>
      <c r="E2" s="815"/>
      <c r="F2" s="815"/>
      <c r="G2" s="815"/>
      <c r="H2" s="815"/>
      <c r="I2" s="815"/>
    </row>
    <row r="3" spans="1:9">
      <c r="A3" s="759" t="s">
        <v>294</v>
      </c>
      <c r="B3" s="759"/>
      <c r="C3" s="759"/>
      <c r="D3" s="759"/>
      <c r="E3" s="759"/>
      <c r="F3" s="759"/>
      <c r="G3" s="759"/>
      <c r="H3" s="759"/>
      <c r="I3" s="759"/>
    </row>
    <row r="4" spans="1:9">
      <c r="A4" s="759" t="s">
        <v>295</v>
      </c>
      <c r="B4" s="759"/>
      <c r="C4" s="759"/>
      <c r="D4" s="759"/>
      <c r="E4" s="759"/>
      <c r="F4" s="759"/>
      <c r="G4" s="759"/>
      <c r="H4" s="759"/>
      <c r="I4" s="759"/>
    </row>
    <row r="5" spans="1:9">
      <c r="A5" s="254"/>
      <c r="B5" s="254"/>
      <c r="C5" s="254"/>
      <c r="D5" s="254"/>
      <c r="E5" s="254"/>
      <c r="F5" s="254"/>
      <c r="G5" s="254"/>
      <c r="H5" s="254"/>
      <c r="I5" s="254"/>
    </row>
    <row r="6" spans="1:9">
      <c r="A6" s="777" t="s">
        <v>296</v>
      </c>
      <c r="B6" s="778"/>
      <c r="C6" s="778"/>
      <c r="D6" s="778"/>
      <c r="E6" s="778"/>
      <c r="F6" s="778"/>
      <c r="G6" s="778"/>
      <c r="H6" s="778"/>
      <c r="I6" s="779"/>
    </row>
    <row r="7" spans="1:9">
      <c r="A7" s="760" t="s">
        <v>297</v>
      </c>
      <c r="B7" s="764"/>
      <c r="C7" s="780" t="s">
        <v>298</v>
      </c>
      <c r="D7" s="781"/>
      <c r="E7" s="780" t="s">
        <v>299</v>
      </c>
      <c r="F7" s="781"/>
      <c r="G7" s="780" t="s">
        <v>300</v>
      </c>
      <c r="H7" s="785"/>
      <c r="I7" s="781"/>
    </row>
    <row r="8" spans="1:9">
      <c r="A8" s="760"/>
      <c r="B8" s="764"/>
      <c r="C8" s="780" t="s">
        <v>301</v>
      </c>
      <c r="D8" s="781"/>
      <c r="E8" s="780" t="s">
        <v>302</v>
      </c>
      <c r="F8" s="781"/>
      <c r="G8" s="780" t="s">
        <v>303</v>
      </c>
      <c r="H8" s="785"/>
      <c r="I8" s="781"/>
    </row>
    <row r="9" spans="1:9">
      <c r="A9" s="762"/>
      <c r="B9" s="768"/>
      <c r="C9" s="780" t="s">
        <v>304</v>
      </c>
      <c r="D9" s="781"/>
      <c r="E9" s="774" t="s">
        <v>305</v>
      </c>
      <c r="F9" s="775"/>
      <c r="G9" s="774" t="s">
        <v>306</v>
      </c>
      <c r="H9" s="776"/>
      <c r="I9" s="775"/>
    </row>
    <row r="10" spans="1:9">
      <c r="A10" s="796" t="s">
        <v>307</v>
      </c>
      <c r="B10" s="812" t="s">
        <v>308</v>
      </c>
      <c r="C10" s="769">
        <v>1</v>
      </c>
      <c r="D10" s="770"/>
      <c r="E10" s="813">
        <v>0</v>
      </c>
      <c r="F10" s="814"/>
      <c r="G10" s="737">
        <f>ROUND(E10*(C10/(C11*D11)),2)</f>
        <v>0</v>
      </c>
      <c r="H10" s="737"/>
      <c r="I10" s="737"/>
    </row>
    <row r="11" spans="1:9">
      <c r="A11" s="797"/>
      <c r="B11" s="812"/>
      <c r="C11" s="257">
        <v>30</v>
      </c>
      <c r="D11" s="258">
        <f>[2]Produtividade!$E$3</f>
        <v>600</v>
      </c>
      <c r="E11" s="813"/>
      <c r="F11" s="814"/>
      <c r="G11" s="737"/>
      <c r="H11" s="737"/>
      <c r="I11" s="737"/>
    </row>
    <row r="12" spans="1:9">
      <c r="A12" s="797"/>
      <c r="B12" s="755" t="s">
        <v>309</v>
      </c>
      <c r="C12" s="769">
        <v>1</v>
      </c>
      <c r="D12" s="770"/>
      <c r="E12" s="811" t="e">
        <f>[2]Servente!$F$194</f>
        <v>#VALUE!</v>
      </c>
      <c r="F12" s="811"/>
      <c r="G12" s="737" t="e">
        <f>ROUND(E12*(C12/(C13)),2)</f>
        <v>#VALUE!</v>
      </c>
      <c r="H12" s="737"/>
      <c r="I12" s="737"/>
    </row>
    <row r="13" spans="1:9">
      <c r="A13" s="798"/>
      <c r="B13" s="755"/>
      <c r="C13" s="771">
        <f>D11</f>
        <v>600</v>
      </c>
      <c r="D13" s="810"/>
      <c r="E13" s="811"/>
      <c r="F13" s="811"/>
      <c r="G13" s="737"/>
      <c r="H13" s="737"/>
      <c r="I13" s="737"/>
    </row>
    <row r="14" spans="1:9">
      <c r="A14" s="790" t="s">
        <v>310</v>
      </c>
      <c r="B14" s="791"/>
      <c r="C14" s="791"/>
      <c r="D14" s="791"/>
      <c r="E14" s="791"/>
      <c r="F14" s="792"/>
      <c r="G14" s="739" t="e">
        <f>ROUND(SUM(G10:H13),2)</f>
        <v>#VALUE!</v>
      </c>
      <c r="H14" s="739"/>
      <c r="I14" s="739"/>
    </row>
    <row r="15" spans="1:9">
      <c r="A15" s="755" t="s">
        <v>311</v>
      </c>
      <c r="B15" s="755" t="s">
        <v>308</v>
      </c>
      <c r="C15" s="769">
        <v>1</v>
      </c>
      <c r="D15" s="770"/>
      <c r="E15" s="752">
        <f>E10</f>
        <v>0</v>
      </c>
      <c r="F15" s="752"/>
      <c r="G15" s="737">
        <f>ROUND(E15*(C15/(C16*D16)),2)</f>
        <v>0</v>
      </c>
      <c r="H15" s="737"/>
      <c r="I15" s="737"/>
    </row>
    <row r="16" spans="1:9">
      <c r="A16" s="755"/>
      <c r="B16" s="755"/>
      <c r="C16" s="257">
        <v>30</v>
      </c>
      <c r="D16" s="258">
        <f>[2]Produtividade!$E$4</f>
        <v>600</v>
      </c>
      <c r="E16" s="752"/>
      <c r="F16" s="752"/>
      <c r="G16" s="737"/>
      <c r="H16" s="737"/>
      <c r="I16" s="737"/>
    </row>
    <row r="17" spans="1:9">
      <c r="A17" s="755"/>
      <c r="B17" s="755" t="s">
        <v>309</v>
      </c>
      <c r="C17" s="769">
        <v>1</v>
      </c>
      <c r="D17" s="770"/>
      <c r="E17" s="752" t="e">
        <f>E12</f>
        <v>#VALUE!</v>
      </c>
      <c r="F17" s="752"/>
      <c r="G17" s="737" t="e">
        <f>ROUND(E17*(C17/(C18)),2)</f>
        <v>#VALUE!</v>
      </c>
      <c r="H17" s="737"/>
      <c r="I17" s="737"/>
    </row>
    <row r="18" spans="1:9">
      <c r="A18" s="755"/>
      <c r="B18" s="755"/>
      <c r="C18" s="771">
        <f>D16</f>
        <v>600</v>
      </c>
      <c r="D18" s="810"/>
      <c r="E18" s="752"/>
      <c r="F18" s="752"/>
      <c r="G18" s="737"/>
      <c r="H18" s="737"/>
      <c r="I18" s="737"/>
    </row>
    <row r="19" spans="1:9">
      <c r="A19" s="790" t="s">
        <v>310</v>
      </c>
      <c r="B19" s="791"/>
      <c r="C19" s="791"/>
      <c r="D19" s="791"/>
      <c r="E19" s="791"/>
      <c r="F19" s="792"/>
      <c r="G19" s="739" t="e">
        <f>ROUND(SUM(G15:H18),2)</f>
        <v>#VALUE!</v>
      </c>
      <c r="H19" s="739"/>
      <c r="I19" s="739"/>
    </row>
    <row r="20" spans="1:9">
      <c r="A20" s="755" t="s">
        <v>312</v>
      </c>
      <c r="B20" s="755" t="s">
        <v>308</v>
      </c>
      <c r="C20" s="769">
        <v>1</v>
      </c>
      <c r="D20" s="770"/>
      <c r="E20" s="752">
        <f>E15</f>
        <v>0</v>
      </c>
      <c r="F20" s="752"/>
      <c r="G20" s="737">
        <f>ROUND(E20*(C20/(C21*D21)),2)</f>
        <v>0</v>
      </c>
      <c r="H20" s="737"/>
      <c r="I20" s="737"/>
    </row>
    <row r="21" spans="1:9">
      <c r="A21" s="755"/>
      <c r="B21" s="755"/>
      <c r="C21" s="257">
        <v>30</v>
      </c>
      <c r="D21" s="258">
        <f>[2]Produtividade!$E$5</f>
        <v>330</v>
      </c>
      <c r="E21" s="752"/>
      <c r="F21" s="752"/>
      <c r="G21" s="737"/>
      <c r="H21" s="737"/>
      <c r="I21" s="737"/>
    </row>
    <row r="22" spans="1:9">
      <c r="A22" s="755"/>
      <c r="B22" s="755" t="s">
        <v>309</v>
      </c>
      <c r="C22" s="769">
        <v>1</v>
      </c>
      <c r="D22" s="770"/>
      <c r="E22" s="752" t="e">
        <f>E17</f>
        <v>#VALUE!</v>
      </c>
      <c r="F22" s="752"/>
      <c r="G22" s="737" t="e">
        <f>ROUND(E22*(C22/(C23)),2)</f>
        <v>#VALUE!</v>
      </c>
      <c r="H22" s="737"/>
      <c r="I22" s="737"/>
    </row>
    <row r="23" spans="1:9">
      <c r="A23" s="755"/>
      <c r="B23" s="755"/>
      <c r="C23" s="771">
        <f>D21</f>
        <v>330</v>
      </c>
      <c r="D23" s="772"/>
      <c r="E23" s="752"/>
      <c r="F23" s="752"/>
      <c r="G23" s="737"/>
      <c r="H23" s="737"/>
      <c r="I23" s="737"/>
    </row>
    <row r="24" spans="1:9">
      <c r="A24" s="790" t="s">
        <v>310</v>
      </c>
      <c r="B24" s="791"/>
      <c r="C24" s="791"/>
      <c r="D24" s="791"/>
      <c r="E24" s="791"/>
      <c r="F24" s="792"/>
      <c r="G24" s="739" t="e">
        <f>ROUND(SUM(G20:H23),2)</f>
        <v>#VALUE!</v>
      </c>
      <c r="H24" s="739"/>
      <c r="I24" s="739"/>
    </row>
    <row r="25" spans="1:9">
      <c r="A25" s="796" t="s">
        <v>313</v>
      </c>
      <c r="B25" s="755" t="s">
        <v>308</v>
      </c>
      <c r="C25" s="769">
        <v>1</v>
      </c>
      <c r="D25" s="770"/>
      <c r="E25" s="752">
        <f>E20</f>
        <v>0</v>
      </c>
      <c r="F25" s="752"/>
      <c r="G25" s="737">
        <f>ROUND(E25*(C25/(C26*D26)),2)</f>
        <v>0</v>
      </c>
      <c r="H25" s="737"/>
      <c r="I25" s="737"/>
    </row>
    <row r="26" spans="1:9">
      <c r="A26" s="797"/>
      <c r="B26" s="755"/>
      <c r="C26" s="257">
        <v>30</v>
      </c>
      <c r="D26" s="258">
        <f>[2]Produtividade!$E$6</f>
        <v>1350</v>
      </c>
      <c r="E26" s="752"/>
      <c r="F26" s="752"/>
      <c r="G26" s="737"/>
      <c r="H26" s="737"/>
      <c r="I26" s="737"/>
    </row>
    <row r="27" spans="1:9">
      <c r="A27" s="797"/>
      <c r="B27" s="755" t="s">
        <v>309</v>
      </c>
      <c r="C27" s="769">
        <v>1</v>
      </c>
      <c r="D27" s="770"/>
      <c r="E27" s="752" t="e">
        <f>E22</f>
        <v>#VALUE!</v>
      </c>
      <c r="F27" s="752"/>
      <c r="G27" s="737" t="e">
        <f>ROUND(E27*(C27/(C28)),2)</f>
        <v>#VALUE!</v>
      </c>
      <c r="H27" s="737"/>
      <c r="I27" s="737"/>
    </row>
    <row r="28" spans="1:9">
      <c r="A28" s="798"/>
      <c r="B28" s="755"/>
      <c r="C28" s="771">
        <f>D26</f>
        <v>1350</v>
      </c>
      <c r="D28" s="772"/>
      <c r="E28" s="752"/>
      <c r="F28" s="752"/>
      <c r="G28" s="737"/>
      <c r="H28" s="737"/>
      <c r="I28" s="737"/>
    </row>
    <row r="29" spans="1:9">
      <c r="A29" s="790" t="s">
        <v>310</v>
      </c>
      <c r="B29" s="791"/>
      <c r="C29" s="791"/>
      <c r="D29" s="791"/>
      <c r="E29" s="791"/>
      <c r="F29" s="792"/>
      <c r="G29" s="739" t="e">
        <f>ROUND(SUM(G25:H28),2)</f>
        <v>#VALUE!</v>
      </c>
      <c r="H29" s="739"/>
      <c r="I29" s="739"/>
    </row>
    <row r="30" spans="1:9">
      <c r="A30" s="796" t="s">
        <v>314</v>
      </c>
      <c r="B30" s="755" t="s">
        <v>308</v>
      </c>
      <c r="C30" s="769">
        <v>1</v>
      </c>
      <c r="D30" s="770"/>
      <c r="E30" s="752">
        <f>E25</f>
        <v>0</v>
      </c>
      <c r="F30" s="752"/>
      <c r="G30" s="737">
        <f>ROUND(E30*(C30/(C31*D31)),2)</f>
        <v>0</v>
      </c>
      <c r="H30" s="737"/>
      <c r="I30" s="737"/>
    </row>
    <row r="31" spans="1:9">
      <c r="A31" s="797"/>
      <c r="B31" s="755"/>
      <c r="C31" s="257">
        <v>30</v>
      </c>
      <c r="D31" s="258">
        <f>[2]Produtividade!$E$7</f>
        <v>1200</v>
      </c>
      <c r="E31" s="752"/>
      <c r="F31" s="752"/>
      <c r="G31" s="737"/>
      <c r="H31" s="737"/>
      <c r="I31" s="737"/>
    </row>
    <row r="32" spans="1:9">
      <c r="A32" s="797"/>
      <c r="B32" s="755" t="s">
        <v>309</v>
      </c>
      <c r="C32" s="769">
        <v>1</v>
      </c>
      <c r="D32" s="770"/>
      <c r="E32" s="752" t="e">
        <f>E27</f>
        <v>#VALUE!</v>
      </c>
      <c r="F32" s="752"/>
      <c r="G32" s="737" t="e">
        <f>ROUND(E32*(C32/(C33)),2)</f>
        <v>#VALUE!</v>
      </c>
      <c r="H32" s="737"/>
      <c r="I32" s="737"/>
    </row>
    <row r="33" spans="1:9">
      <c r="A33" s="798"/>
      <c r="B33" s="755"/>
      <c r="C33" s="771">
        <f>D31</f>
        <v>1200</v>
      </c>
      <c r="D33" s="772"/>
      <c r="E33" s="752"/>
      <c r="F33" s="752"/>
      <c r="G33" s="737"/>
      <c r="H33" s="737"/>
      <c r="I33" s="737"/>
    </row>
    <row r="34" spans="1:9">
      <c r="A34" s="790" t="s">
        <v>310</v>
      </c>
      <c r="B34" s="791"/>
      <c r="C34" s="791"/>
      <c r="D34" s="791"/>
      <c r="E34" s="791"/>
      <c r="F34" s="792"/>
      <c r="G34" s="739" t="e">
        <f>ROUND(SUM(G30:H33),2)</f>
        <v>#VALUE!</v>
      </c>
      <c r="H34" s="739"/>
      <c r="I34" s="739"/>
    </row>
    <row r="35" spans="1:9">
      <c r="A35" s="796" t="s">
        <v>315</v>
      </c>
      <c r="B35" s="755" t="s">
        <v>308</v>
      </c>
      <c r="C35" s="769">
        <v>1</v>
      </c>
      <c r="D35" s="770"/>
      <c r="E35" s="752">
        <f>E30</f>
        <v>0</v>
      </c>
      <c r="F35" s="752"/>
      <c r="G35" s="737">
        <f>ROUND(E35*(C35/(C36*D36)),2)</f>
        <v>0</v>
      </c>
      <c r="H35" s="737"/>
      <c r="I35" s="737"/>
    </row>
    <row r="36" spans="1:9">
      <c r="A36" s="797"/>
      <c r="B36" s="755"/>
      <c r="C36" s="257">
        <v>30</v>
      </c>
      <c r="D36" s="258">
        <f>[2]Produtividade!$E$8</f>
        <v>800</v>
      </c>
      <c r="E36" s="752"/>
      <c r="F36" s="752"/>
      <c r="G36" s="737"/>
      <c r="H36" s="737"/>
      <c r="I36" s="737"/>
    </row>
    <row r="37" spans="1:9">
      <c r="A37" s="797"/>
      <c r="B37" s="755" t="s">
        <v>309</v>
      </c>
      <c r="C37" s="769">
        <v>1</v>
      </c>
      <c r="D37" s="770"/>
      <c r="E37" s="752" t="e">
        <f>E32</f>
        <v>#VALUE!</v>
      </c>
      <c r="F37" s="752"/>
      <c r="G37" s="737" t="e">
        <f>ROUND(E37*(C37/(C38)),2)</f>
        <v>#VALUE!</v>
      </c>
      <c r="H37" s="737"/>
      <c r="I37" s="737"/>
    </row>
    <row r="38" spans="1:9">
      <c r="A38" s="798"/>
      <c r="B38" s="755"/>
      <c r="C38" s="771">
        <f>D36</f>
        <v>800</v>
      </c>
      <c r="D38" s="772"/>
      <c r="E38" s="752"/>
      <c r="F38" s="752"/>
      <c r="G38" s="737"/>
      <c r="H38" s="737"/>
      <c r="I38" s="737"/>
    </row>
    <row r="39" spans="1:9">
      <c r="A39" s="790" t="s">
        <v>310</v>
      </c>
      <c r="B39" s="791"/>
      <c r="C39" s="791"/>
      <c r="D39" s="791"/>
      <c r="E39" s="791"/>
      <c r="F39" s="792"/>
      <c r="G39" s="739" t="e">
        <f>ROUND(SUM(G35:H38),2)</f>
        <v>#VALUE!</v>
      </c>
      <c r="H39" s="739"/>
      <c r="I39" s="739"/>
    </row>
    <row r="40" spans="1:9">
      <c r="A40" s="254"/>
      <c r="B40" s="254"/>
      <c r="C40" s="254"/>
      <c r="D40" s="254"/>
      <c r="E40" s="254"/>
      <c r="F40" s="254"/>
      <c r="G40" s="254"/>
      <c r="H40" s="254"/>
      <c r="I40" s="254"/>
    </row>
    <row r="41" spans="1:9">
      <c r="A41" s="777" t="s">
        <v>316</v>
      </c>
      <c r="B41" s="778"/>
      <c r="C41" s="778"/>
      <c r="D41" s="778"/>
      <c r="E41" s="778"/>
      <c r="F41" s="778"/>
      <c r="G41" s="778"/>
      <c r="H41" s="778"/>
      <c r="I41" s="779"/>
    </row>
    <row r="42" spans="1:9">
      <c r="A42" s="760" t="s">
        <v>297</v>
      </c>
      <c r="B42" s="764"/>
      <c r="C42" s="780" t="s">
        <v>298</v>
      </c>
      <c r="D42" s="781"/>
      <c r="E42" s="780" t="s">
        <v>299</v>
      </c>
      <c r="F42" s="781"/>
      <c r="G42" s="780" t="s">
        <v>300</v>
      </c>
      <c r="H42" s="785"/>
      <c r="I42" s="781"/>
    </row>
    <row r="43" spans="1:9">
      <c r="A43" s="760"/>
      <c r="B43" s="764"/>
      <c r="C43" s="780" t="s">
        <v>301</v>
      </c>
      <c r="D43" s="781"/>
      <c r="E43" s="780" t="s">
        <v>302</v>
      </c>
      <c r="F43" s="781"/>
      <c r="G43" s="780" t="s">
        <v>303</v>
      </c>
      <c r="H43" s="785"/>
      <c r="I43" s="781"/>
    </row>
    <row r="44" spans="1:9">
      <c r="A44" s="762"/>
      <c r="B44" s="768"/>
      <c r="C44" s="774" t="s">
        <v>304</v>
      </c>
      <c r="D44" s="775"/>
      <c r="E44" s="774" t="s">
        <v>305</v>
      </c>
      <c r="F44" s="775"/>
      <c r="G44" s="774" t="s">
        <v>306</v>
      </c>
      <c r="H44" s="776"/>
      <c r="I44" s="775"/>
    </row>
    <row r="45" spans="1:9">
      <c r="A45" s="807" t="s">
        <v>317</v>
      </c>
      <c r="B45" s="755" t="s">
        <v>308</v>
      </c>
      <c r="C45" s="769">
        <v>1</v>
      </c>
      <c r="D45" s="770"/>
      <c r="E45" s="752">
        <f>E10</f>
        <v>0</v>
      </c>
      <c r="F45" s="752"/>
      <c r="G45" s="737">
        <f>ROUND(E45*(C45/(C46*D46)),2)</f>
        <v>0</v>
      </c>
      <c r="H45" s="737"/>
      <c r="I45" s="737"/>
    </row>
    <row r="46" spans="1:9">
      <c r="A46" s="808"/>
      <c r="B46" s="755"/>
      <c r="C46" s="257">
        <v>30</v>
      </c>
      <c r="D46" s="258">
        <f>[2]Produtividade!$E$9</f>
        <v>1200</v>
      </c>
      <c r="E46" s="752"/>
      <c r="F46" s="752"/>
      <c r="G46" s="737"/>
      <c r="H46" s="737"/>
      <c r="I46" s="737"/>
    </row>
    <row r="47" spans="1:9">
      <c r="A47" s="808"/>
      <c r="B47" s="755" t="s">
        <v>309</v>
      </c>
      <c r="C47" s="769">
        <v>1</v>
      </c>
      <c r="D47" s="770"/>
      <c r="E47" s="752" t="e">
        <f>E12</f>
        <v>#VALUE!</v>
      </c>
      <c r="F47" s="752"/>
      <c r="G47" s="737" t="e">
        <f>ROUND(E47*(C47/(C48)),2)</f>
        <v>#VALUE!</v>
      </c>
      <c r="H47" s="737"/>
      <c r="I47" s="737"/>
    </row>
    <row r="48" spans="1:9">
      <c r="A48" s="809"/>
      <c r="B48" s="755"/>
      <c r="C48" s="771">
        <f>D46</f>
        <v>1200</v>
      </c>
      <c r="D48" s="772"/>
      <c r="E48" s="752"/>
      <c r="F48" s="752"/>
      <c r="G48" s="737"/>
      <c r="H48" s="737"/>
      <c r="I48" s="737"/>
    </row>
    <row r="49" spans="1:9">
      <c r="A49" s="790" t="s">
        <v>310</v>
      </c>
      <c r="B49" s="791"/>
      <c r="C49" s="791"/>
      <c r="D49" s="791"/>
      <c r="E49" s="791"/>
      <c r="F49" s="792"/>
      <c r="G49" s="739" t="e">
        <f>ROUND(SUM(G45:H48),2)</f>
        <v>#VALUE!</v>
      </c>
      <c r="H49" s="739"/>
      <c r="I49" s="739"/>
    </row>
    <row r="50" spans="1:9">
      <c r="A50" s="796" t="s">
        <v>318</v>
      </c>
      <c r="B50" s="755" t="s">
        <v>308</v>
      </c>
      <c r="C50" s="769">
        <v>1</v>
      </c>
      <c r="D50" s="770"/>
      <c r="E50" s="752">
        <f>E15</f>
        <v>0</v>
      </c>
      <c r="F50" s="752"/>
      <c r="G50" s="737">
        <f>ROUND(E50*(C50/(C51*D51)),2)</f>
        <v>0</v>
      </c>
      <c r="H50" s="737"/>
      <c r="I50" s="737"/>
    </row>
    <row r="51" spans="1:9">
      <c r="A51" s="797"/>
      <c r="B51" s="755"/>
      <c r="C51" s="257">
        <v>30</v>
      </c>
      <c r="D51" s="258">
        <f>[2]Produtividade!$E$10</f>
        <v>6000</v>
      </c>
      <c r="E51" s="752"/>
      <c r="F51" s="752"/>
      <c r="G51" s="737"/>
      <c r="H51" s="737"/>
      <c r="I51" s="737"/>
    </row>
    <row r="52" spans="1:9">
      <c r="A52" s="797"/>
      <c r="B52" s="755" t="s">
        <v>309</v>
      </c>
      <c r="C52" s="769">
        <v>1</v>
      </c>
      <c r="D52" s="770"/>
      <c r="E52" s="752" t="e">
        <f>E17</f>
        <v>#VALUE!</v>
      </c>
      <c r="F52" s="752"/>
      <c r="G52" s="737" t="e">
        <f>ROUND(E52*(C52/(C53)),2)</f>
        <v>#VALUE!</v>
      </c>
      <c r="H52" s="737"/>
      <c r="I52" s="737"/>
    </row>
    <row r="53" spans="1:9">
      <c r="A53" s="798"/>
      <c r="B53" s="755"/>
      <c r="C53" s="771">
        <f>D51</f>
        <v>6000</v>
      </c>
      <c r="D53" s="772"/>
      <c r="E53" s="752"/>
      <c r="F53" s="752"/>
      <c r="G53" s="737"/>
      <c r="H53" s="737"/>
      <c r="I53" s="737"/>
    </row>
    <row r="54" spans="1:9">
      <c r="A54" s="790" t="s">
        <v>310</v>
      </c>
      <c r="B54" s="791"/>
      <c r="C54" s="791"/>
      <c r="D54" s="791"/>
      <c r="E54" s="791"/>
      <c r="F54" s="792"/>
      <c r="G54" s="739" t="e">
        <f>ROUND(SUM(G50:H53),2)</f>
        <v>#VALUE!</v>
      </c>
      <c r="H54" s="739"/>
      <c r="I54" s="739"/>
    </row>
    <row r="55" spans="1:9">
      <c r="A55" s="796" t="s">
        <v>319</v>
      </c>
      <c r="B55" s="755" t="s">
        <v>308</v>
      </c>
      <c r="C55" s="769">
        <v>1</v>
      </c>
      <c r="D55" s="770"/>
      <c r="E55" s="752">
        <f>E20</f>
        <v>0</v>
      </c>
      <c r="F55" s="752"/>
      <c r="G55" s="737">
        <f>ROUND(E55*(C55/(C56*D56)),2)</f>
        <v>0</v>
      </c>
      <c r="H55" s="737"/>
      <c r="I55" s="737"/>
    </row>
    <row r="56" spans="1:9">
      <c r="A56" s="797"/>
      <c r="B56" s="755"/>
      <c r="C56" s="257">
        <v>30</v>
      </c>
      <c r="D56" s="258">
        <f>[2]Produtividade!$E$11</f>
        <v>1200</v>
      </c>
      <c r="E56" s="752"/>
      <c r="F56" s="752"/>
      <c r="G56" s="737"/>
      <c r="H56" s="737"/>
      <c r="I56" s="737"/>
    </row>
    <row r="57" spans="1:9">
      <c r="A57" s="797"/>
      <c r="B57" s="755" t="s">
        <v>309</v>
      </c>
      <c r="C57" s="769">
        <v>1</v>
      </c>
      <c r="D57" s="770"/>
      <c r="E57" s="752" t="e">
        <f>E22</f>
        <v>#VALUE!</v>
      </c>
      <c r="F57" s="752"/>
      <c r="G57" s="737" t="e">
        <f>ROUND(E57*(C57/(C58)),2)</f>
        <v>#VALUE!</v>
      </c>
      <c r="H57" s="737"/>
      <c r="I57" s="737"/>
    </row>
    <row r="58" spans="1:9">
      <c r="A58" s="798"/>
      <c r="B58" s="755"/>
      <c r="C58" s="771">
        <f>D56</f>
        <v>1200</v>
      </c>
      <c r="D58" s="772"/>
      <c r="E58" s="752"/>
      <c r="F58" s="752"/>
      <c r="G58" s="737"/>
      <c r="H58" s="737"/>
      <c r="I58" s="737"/>
    </row>
    <row r="59" spans="1:9">
      <c r="A59" s="790" t="s">
        <v>310</v>
      </c>
      <c r="B59" s="791"/>
      <c r="C59" s="791"/>
      <c r="D59" s="791"/>
      <c r="E59" s="791"/>
      <c r="F59" s="792"/>
      <c r="G59" s="739" t="e">
        <f>ROUND(SUM(G55:H58),2)</f>
        <v>#VALUE!</v>
      </c>
      <c r="H59" s="739"/>
      <c r="I59" s="739"/>
    </row>
    <row r="60" spans="1:9">
      <c r="A60" s="796" t="s">
        <v>320</v>
      </c>
      <c r="B60" s="755" t="s">
        <v>308</v>
      </c>
      <c r="C60" s="769">
        <v>1</v>
      </c>
      <c r="D60" s="770"/>
      <c r="E60" s="752">
        <f>E25</f>
        <v>0</v>
      </c>
      <c r="F60" s="752"/>
      <c r="G60" s="737">
        <f>ROUND(E60*(C60/(C61*D61)),2)</f>
        <v>0</v>
      </c>
      <c r="H60" s="737"/>
      <c r="I60" s="737"/>
    </row>
    <row r="61" spans="1:9">
      <c r="A61" s="797"/>
      <c r="B61" s="755"/>
      <c r="C61" s="257">
        <v>30</v>
      </c>
      <c r="D61" s="258">
        <f>[2]Produtividade!$E$12</f>
        <v>1200</v>
      </c>
      <c r="E61" s="752"/>
      <c r="F61" s="752"/>
      <c r="G61" s="737"/>
      <c r="H61" s="737"/>
      <c r="I61" s="737"/>
    </row>
    <row r="62" spans="1:9">
      <c r="A62" s="797"/>
      <c r="B62" s="755" t="s">
        <v>309</v>
      </c>
      <c r="C62" s="769">
        <v>1</v>
      </c>
      <c r="D62" s="770"/>
      <c r="E62" s="752" t="e">
        <f>E27</f>
        <v>#VALUE!</v>
      </c>
      <c r="F62" s="752"/>
      <c r="G62" s="737" t="e">
        <f>ROUND(E62*(C62/(C63)),2)</f>
        <v>#VALUE!</v>
      </c>
      <c r="H62" s="737"/>
      <c r="I62" s="737"/>
    </row>
    <row r="63" spans="1:9">
      <c r="A63" s="798"/>
      <c r="B63" s="755"/>
      <c r="C63" s="771">
        <f>D61</f>
        <v>1200</v>
      </c>
      <c r="D63" s="772"/>
      <c r="E63" s="752"/>
      <c r="F63" s="752"/>
      <c r="G63" s="737"/>
      <c r="H63" s="737"/>
      <c r="I63" s="737"/>
    </row>
    <row r="64" spans="1:9">
      <c r="A64" s="790" t="s">
        <v>310</v>
      </c>
      <c r="B64" s="791"/>
      <c r="C64" s="791"/>
      <c r="D64" s="791"/>
      <c r="E64" s="791"/>
      <c r="F64" s="792"/>
      <c r="G64" s="739" t="e">
        <f>ROUND(SUM(G60:H63),2)</f>
        <v>#VALUE!</v>
      </c>
      <c r="H64" s="739"/>
      <c r="I64" s="739"/>
    </row>
    <row r="65" spans="1:9">
      <c r="A65" s="796" t="s">
        <v>321</v>
      </c>
      <c r="B65" s="755" t="s">
        <v>308</v>
      </c>
      <c r="C65" s="769">
        <v>1</v>
      </c>
      <c r="D65" s="770"/>
      <c r="E65" s="752">
        <f>E25</f>
        <v>0</v>
      </c>
      <c r="F65" s="752"/>
      <c r="G65" s="737">
        <f>ROUND(E65*(C65/(C66*D66)),2)</f>
        <v>0</v>
      </c>
      <c r="H65" s="737"/>
      <c r="I65" s="737"/>
    </row>
    <row r="66" spans="1:9">
      <c r="A66" s="797"/>
      <c r="B66" s="755"/>
      <c r="C66" s="257">
        <v>30</v>
      </c>
      <c r="D66" s="258">
        <f>[2]Produtividade!$E$13</f>
        <v>1200</v>
      </c>
      <c r="E66" s="752"/>
      <c r="F66" s="752"/>
      <c r="G66" s="737"/>
      <c r="H66" s="737"/>
      <c r="I66" s="737"/>
    </row>
    <row r="67" spans="1:9">
      <c r="A67" s="797"/>
      <c r="B67" s="755" t="s">
        <v>309</v>
      </c>
      <c r="C67" s="769">
        <v>1</v>
      </c>
      <c r="D67" s="770"/>
      <c r="E67" s="752" t="e">
        <f>E27</f>
        <v>#VALUE!</v>
      </c>
      <c r="F67" s="752"/>
      <c r="G67" s="737" t="e">
        <f>ROUND(E67*(C67/(C68)),2)</f>
        <v>#VALUE!</v>
      </c>
      <c r="H67" s="737"/>
      <c r="I67" s="737"/>
    </row>
    <row r="68" spans="1:9">
      <c r="A68" s="798"/>
      <c r="B68" s="755"/>
      <c r="C68" s="771">
        <f>D66</f>
        <v>1200</v>
      </c>
      <c r="D68" s="772"/>
      <c r="E68" s="752"/>
      <c r="F68" s="752"/>
      <c r="G68" s="737"/>
      <c r="H68" s="737"/>
      <c r="I68" s="737"/>
    </row>
    <row r="69" spans="1:9">
      <c r="A69" s="790" t="s">
        <v>310</v>
      </c>
      <c r="B69" s="791"/>
      <c r="C69" s="791"/>
      <c r="D69" s="791"/>
      <c r="E69" s="791"/>
      <c r="F69" s="792"/>
      <c r="G69" s="739" t="e">
        <f>ROUND(SUM(G65:H68),2)</f>
        <v>#VALUE!</v>
      </c>
      <c r="H69" s="739"/>
      <c r="I69" s="739"/>
    </row>
    <row r="70" spans="1:9">
      <c r="A70" s="804" t="s">
        <v>322</v>
      </c>
      <c r="B70" s="755" t="s">
        <v>308</v>
      </c>
      <c r="C70" s="769">
        <v>1</v>
      </c>
      <c r="D70" s="770"/>
      <c r="E70" s="752">
        <f>E30</f>
        <v>0</v>
      </c>
      <c r="F70" s="752"/>
      <c r="G70" s="737">
        <f>ROUND(E70*(C70/(C71*D71)),2)</f>
        <v>0</v>
      </c>
      <c r="H70" s="737"/>
      <c r="I70" s="737"/>
    </row>
    <row r="71" spans="1:9">
      <c r="A71" s="805"/>
      <c r="B71" s="755"/>
      <c r="C71" s="257">
        <v>30</v>
      </c>
      <c r="D71" s="258">
        <f>[2]Produtividade!$E$14</f>
        <v>100000</v>
      </c>
      <c r="E71" s="752"/>
      <c r="F71" s="752"/>
      <c r="G71" s="737"/>
      <c r="H71" s="737"/>
      <c r="I71" s="737"/>
    </row>
    <row r="72" spans="1:9">
      <c r="A72" s="805"/>
      <c r="B72" s="755" t="s">
        <v>309</v>
      </c>
      <c r="C72" s="769">
        <v>1</v>
      </c>
      <c r="D72" s="770"/>
      <c r="E72" s="752" t="e">
        <f>E32</f>
        <v>#VALUE!</v>
      </c>
      <c r="F72" s="752"/>
      <c r="G72" s="737" t="e">
        <f>ROUND(E72*(C72/(C73)),2)</f>
        <v>#VALUE!</v>
      </c>
      <c r="H72" s="737"/>
      <c r="I72" s="737"/>
    </row>
    <row r="73" spans="1:9">
      <c r="A73" s="806"/>
      <c r="B73" s="755"/>
      <c r="C73" s="771">
        <f>D71</f>
        <v>100000</v>
      </c>
      <c r="D73" s="772"/>
      <c r="E73" s="752"/>
      <c r="F73" s="752"/>
      <c r="G73" s="737"/>
      <c r="H73" s="737"/>
      <c r="I73" s="737"/>
    </row>
    <row r="74" spans="1:9">
      <c r="A74" s="790" t="s">
        <v>310</v>
      </c>
      <c r="B74" s="791"/>
      <c r="C74" s="791"/>
      <c r="D74" s="791"/>
      <c r="E74" s="791"/>
      <c r="F74" s="792"/>
      <c r="G74" s="739" t="e">
        <f>ROUND(SUM(G70:H73),2)</f>
        <v>#VALUE!</v>
      </c>
      <c r="H74" s="739"/>
      <c r="I74" s="739"/>
    </row>
    <row r="75" spans="1:9">
      <c r="A75" s="254"/>
      <c r="B75" s="254"/>
      <c r="C75" s="254"/>
      <c r="D75" s="254"/>
      <c r="E75" s="254"/>
      <c r="F75" s="254"/>
      <c r="G75" s="254"/>
      <c r="H75" s="254"/>
      <c r="I75" s="255" t="s">
        <v>323</v>
      </c>
    </row>
    <row r="76" spans="1:9" ht="26.25">
      <c r="A76" s="803" t="s">
        <v>293</v>
      </c>
      <c r="B76" s="803"/>
      <c r="C76" s="803"/>
      <c r="D76" s="803"/>
      <c r="E76" s="803"/>
      <c r="F76" s="803"/>
      <c r="G76" s="803"/>
      <c r="H76" s="803"/>
      <c r="I76" s="803"/>
    </row>
    <row r="77" spans="1:9">
      <c r="A77" s="759" t="s">
        <v>294</v>
      </c>
      <c r="B77" s="759"/>
      <c r="C77" s="759"/>
      <c r="D77" s="759"/>
      <c r="E77" s="759"/>
      <c r="F77" s="759"/>
      <c r="G77" s="759"/>
      <c r="H77" s="759"/>
      <c r="I77" s="759"/>
    </row>
    <row r="78" spans="1:9">
      <c r="A78" s="759" t="s">
        <v>295</v>
      </c>
      <c r="B78" s="759"/>
      <c r="C78" s="759"/>
      <c r="D78" s="759"/>
      <c r="E78" s="759"/>
      <c r="F78" s="759"/>
      <c r="G78" s="759"/>
      <c r="H78" s="759"/>
      <c r="I78" s="759"/>
    </row>
    <row r="79" spans="1:9">
      <c r="A79" s="254"/>
      <c r="B79" s="254"/>
      <c r="C79" s="254"/>
      <c r="D79" s="254"/>
      <c r="E79" s="254"/>
      <c r="F79" s="254"/>
      <c r="G79" s="254"/>
      <c r="H79" s="254"/>
      <c r="I79" s="254"/>
    </row>
    <row r="80" spans="1:9">
      <c r="A80" s="793" t="s">
        <v>324</v>
      </c>
      <c r="B80" s="793"/>
      <c r="C80" s="793"/>
      <c r="D80" s="793"/>
      <c r="E80" s="793"/>
      <c r="F80" s="793"/>
      <c r="G80" s="793"/>
      <c r="H80" s="793"/>
      <c r="I80" s="793"/>
    </row>
    <row r="81" spans="1:9">
      <c r="A81" s="760" t="s">
        <v>297</v>
      </c>
      <c r="B81" s="764"/>
      <c r="C81" s="780" t="s">
        <v>298</v>
      </c>
      <c r="D81" s="781"/>
      <c r="E81" s="259" t="s">
        <v>299</v>
      </c>
      <c r="F81" s="260" t="s">
        <v>325</v>
      </c>
      <c r="G81" s="261" t="s">
        <v>326</v>
      </c>
      <c r="H81" s="261" t="s">
        <v>327</v>
      </c>
      <c r="I81" s="262" t="s">
        <v>328</v>
      </c>
    </row>
    <row r="82" spans="1:9" ht="45">
      <c r="A82" s="760"/>
      <c r="B82" s="764"/>
      <c r="C82" s="794" t="s">
        <v>301</v>
      </c>
      <c r="D82" s="795"/>
      <c r="E82" s="263" t="s">
        <v>329</v>
      </c>
      <c r="F82" s="264" t="s">
        <v>330</v>
      </c>
      <c r="G82" s="265" t="s">
        <v>331</v>
      </c>
      <c r="H82" s="265" t="s">
        <v>302</v>
      </c>
      <c r="I82" s="266" t="s">
        <v>303</v>
      </c>
    </row>
    <row r="83" spans="1:9">
      <c r="A83" s="762"/>
      <c r="B83" s="768"/>
      <c r="C83" s="774" t="s">
        <v>304</v>
      </c>
      <c r="D83" s="775"/>
      <c r="E83" s="267" t="s">
        <v>332</v>
      </c>
      <c r="F83" s="268" t="s">
        <v>332</v>
      </c>
      <c r="G83" s="267" t="s">
        <v>333</v>
      </c>
      <c r="H83" s="267" t="s">
        <v>305</v>
      </c>
      <c r="I83" s="269" t="s">
        <v>306</v>
      </c>
    </row>
    <row r="84" spans="1:9">
      <c r="A84" s="801" t="s">
        <v>334</v>
      </c>
      <c r="B84" s="755" t="s">
        <v>308</v>
      </c>
      <c r="C84" s="769">
        <v>1</v>
      </c>
      <c r="D84" s="770"/>
      <c r="E84" s="787">
        <v>16</v>
      </c>
      <c r="F84" s="737" t="s">
        <v>335</v>
      </c>
      <c r="G84" s="802">
        <f>((C84/(C85*D85))*E84*(1/191.4))</f>
        <v>2.5331686773693045E-5</v>
      </c>
      <c r="H84" s="752">
        <f>E10</f>
        <v>0</v>
      </c>
      <c r="I84" s="786">
        <f>ROUND(G84*H84,2)</f>
        <v>0</v>
      </c>
    </row>
    <row r="85" spans="1:9">
      <c r="A85" s="799"/>
      <c r="B85" s="755"/>
      <c r="C85" s="257">
        <v>30</v>
      </c>
      <c r="D85" s="258">
        <f>[2]Produtividade!$E$15</f>
        <v>110</v>
      </c>
      <c r="E85" s="787"/>
      <c r="F85" s="737"/>
      <c r="G85" s="802"/>
      <c r="H85" s="752"/>
      <c r="I85" s="786"/>
    </row>
    <row r="86" spans="1:9">
      <c r="A86" s="799"/>
      <c r="B86" s="755" t="s">
        <v>309</v>
      </c>
      <c r="C86" s="769">
        <v>1</v>
      </c>
      <c r="D86" s="770"/>
      <c r="E86" s="787">
        <v>16</v>
      </c>
      <c r="F86" s="737" t="s">
        <v>335</v>
      </c>
      <c r="G86" s="802">
        <f>((C86/C87)*E86*(1/191.4))</f>
        <v>7.5995060321079123E-4</v>
      </c>
      <c r="H86" s="752" t="e">
        <f>E12</f>
        <v>#VALUE!</v>
      </c>
      <c r="I86" s="786" t="e">
        <f>ROUND(G86*H86,2)</f>
        <v>#VALUE!</v>
      </c>
    </row>
    <row r="87" spans="1:9">
      <c r="A87" s="800"/>
      <c r="B87" s="755"/>
      <c r="C87" s="771">
        <f>D85</f>
        <v>110</v>
      </c>
      <c r="D87" s="772"/>
      <c r="E87" s="787"/>
      <c r="F87" s="737"/>
      <c r="G87" s="802"/>
      <c r="H87" s="752"/>
      <c r="I87" s="786"/>
    </row>
    <row r="88" spans="1:9">
      <c r="A88" s="790" t="s">
        <v>310</v>
      </c>
      <c r="B88" s="791"/>
      <c r="C88" s="791"/>
      <c r="D88" s="791"/>
      <c r="E88" s="791"/>
      <c r="F88" s="791"/>
      <c r="G88" s="791"/>
      <c r="H88" s="792"/>
      <c r="I88" s="270" t="e">
        <f>ROUND(SUM(I84:I87),2)</f>
        <v>#VALUE!</v>
      </c>
    </row>
    <row r="89" spans="1:9">
      <c r="A89" s="796" t="s">
        <v>336</v>
      </c>
      <c r="B89" s="755" t="s">
        <v>308</v>
      </c>
      <c r="C89" s="769">
        <v>1</v>
      </c>
      <c r="D89" s="770"/>
      <c r="E89" s="787">
        <v>16</v>
      </c>
      <c r="F89" s="737" t="s">
        <v>335</v>
      </c>
      <c r="G89" s="788">
        <f>((C89/(C90*D90))*E89*(1/191.4))</f>
        <v>1.2665843386846523E-5</v>
      </c>
      <c r="H89" s="752">
        <f>E15</f>
        <v>0</v>
      </c>
      <c r="I89" s="786">
        <f>ROUND(G89*H89,2)</f>
        <v>0</v>
      </c>
    </row>
    <row r="90" spans="1:9">
      <c r="A90" s="799"/>
      <c r="B90" s="755"/>
      <c r="C90" s="257">
        <v>30</v>
      </c>
      <c r="D90" s="258">
        <f>[2]Produtividade!$E$16</f>
        <v>220</v>
      </c>
      <c r="E90" s="787"/>
      <c r="F90" s="737"/>
      <c r="G90" s="789"/>
      <c r="H90" s="752"/>
      <c r="I90" s="786"/>
    </row>
    <row r="91" spans="1:9">
      <c r="A91" s="799"/>
      <c r="B91" s="755" t="s">
        <v>309</v>
      </c>
      <c r="C91" s="769">
        <v>1</v>
      </c>
      <c r="D91" s="770"/>
      <c r="E91" s="787">
        <v>16</v>
      </c>
      <c r="F91" s="737" t="s">
        <v>335</v>
      </c>
      <c r="G91" s="788">
        <f>((C91/C92)*E91*(1/191.4))</f>
        <v>3.7997530160539561E-4</v>
      </c>
      <c r="H91" s="752" t="e">
        <f>E17</f>
        <v>#VALUE!</v>
      </c>
      <c r="I91" s="786" t="e">
        <f>ROUND(G91*H91,2)</f>
        <v>#VALUE!</v>
      </c>
    </row>
    <row r="92" spans="1:9">
      <c r="A92" s="800"/>
      <c r="B92" s="755"/>
      <c r="C92" s="771">
        <f>D90</f>
        <v>220</v>
      </c>
      <c r="D92" s="772"/>
      <c r="E92" s="787"/>
      <c r="F92" s="737"/>
      <c r="G92" s="789"/>
      <c r="H92" s="752"/>
      <c r="I92" s="786"/>
    </row>
    <row r="93" spans="1:9">
      <c r="A93" s="790" t="s">
        <v>310</v>
      </c>
      <c r="B93" s="791"/>
      <c r="C93" s="791"/>
      <c r="D93" s="791"/>
      <c r="E93" s="791"/>
      <c r="F93" s="791"/>
      <c r="G93" s="791"/>
      <c r="H93" s="792"/>
      <c r="I93" s="270" t="e">
        <f>ROUND(SUM(I89:I92),2)</f>
        <v>#VALUE!</v>
      </c>
    </row>
    <row r="94" spans="1:9">
      <c r="A94" s="796" t="s">
        <v>337</v>
      </c>
      <c r="B94" s="755" t="s">
        <v>308</v>
      </c>
      <c r="C94" s="769">
        <v>1</v>
      </c>
      <c r="D94" s="770"/>
      <c r="E94" s="787">
        <v>16</v>
      </c>
      <c r="F94" s="737" t="s">
        <v>335</v>
      </c>
      <c r="G94" s="788">
        <f>((C94/(C95*D95))*E94*(1/191.4))</f>
        <v>1.2665843386846523E-5</v>
      </c>
      <c r="H94" s="752">
        <f>E20</f>
        <v>0</v>
      </c>
      <c r="I94" s="786">
        <f>ROUND(G94*H94,2)</f>
        <v>0</v>
      </c>
    </row>
    <row r="95" spans="1:9">
      <c r="A95" s="797"/>
      <c r="B95" s="755"/>
      <c r="C95" s="257">
        <v>30</v>
      </c>
      <c r="D95" s="258">
        <f>[2]Produtividade!$E$17</f>
        <v>220</v>
      </c>
      <c r="E95" s="787"/>
      <c r="F95" s="737"/>
      <c r="G95" s="789"/>
      <c r="H95" s="752"/>
      <c r="I95" s="786"/>
    </row>
    <row r="96" spans="1:9">
      <c r="A96" s="797"/>
      <c r="B96" s="755" t="s">
        <v>309</v>
      </c>
      <c r="C96" s="769">
        <v>1</v>
      </c>
      <c r="D96" s="770"/>
      <c r="E96" s="787">
        <v>16</v>
      </c>
      <c r="F96" s="737" t="s">
        <v>335</v>
      </c>
      <c r="G96" s="788">
        <f>((C96/C97)*E96*(1/191.4))</f>
        <v>3.7997530160539561E-4</v>
      </c>
      <c r="H96" s="752" t="e">
        <f>E22</f>
        <v>#VALUE!</v>
      </c>
      <c r="I96" s="786" t="e">
        <f>ROUND(G96*H96,2)</f>
        <v>#VALUE!</v>
      </c>
    </row>
    <row r="97" spans="1:15">
      <c r="A97" s="798"/>
      <c r="B97" s="755"/>
      <c r="C97" s="771">
        <f>D95</f>
        <v>220</v>
      </c>
      <c r="D97" s="772"/>
      <c r="E97" s="787"/>
      <c r="F97" s="737"/>
      <c r="G97" s="789"/>
      <c r="H97" s="752"/>
      <c r="I97" s="786"/>
    </row>
    <row r="98" spans="1:15">
      <c r="A98" s="790" t="s">
        <v>310</v>
      </c>
      <c r="B98" s="791"/>
      <c r="C98" s="791"/>
      <c r="D98" s="791"/>
      <c r="E98" s="791"/>
      <c r="F98" s="791"/>
      <c r="G98" s="791"/>
      <c r="H98" s="792"/>
      <c r="I98" s="270" t="e">
        <f>ROUND(SUM(I94:I97),2)</f>
        <v>#VALUE!</v>
      </c>
    </row>
    <row r="99" spans="1:15">
      <c r="A99" s="271"/>
      <c r="B99" s="271"/>
      <c r="C99" s="271"/>
      <c r="D99" s="271"/>
      <c r="E99" s="271"/>
      <c r="F99" s="271"/>
      <c r="G99" s="271"/>
      <c r="H99" s="271"/>
      <c r="I99" s="272"/>
      <c r="J99" s="273"/>
      <c r="K99" s="273"/>
      <c r="L99" s="273"/>
      <c r="M99" s="273"/>
      <c r="N99" s="273"/>
      <c r="O99" s="273"/>
    </row>
    <row r="100" spans="1:15">
      <c r="A100" s="793" t="s">
        <v>338</v>
      </c>
      <c r="B100" s="793"/>
      <c r="C100" s="793"/>
      <c r="D100" s="793"/>
      <c r="E100" s="793"/>
      <c r="F100" s="793"/>
      <c r="G100" s="793"/>
      <c r="H100" s="793"/>
      <c r="I100" s="793"/>
    </row>
    <row r="101" spans="1:15">
      <c r="A101" s="760" t="s">
        <v>297</v>
      </c>
      <c r="B101" s="764"/>
      <c r="C101" s="780" t="s">
        <v>298</v>
      </c>
      <c r="D101" s="781"/>
      <c r="E101" s="259" t="s">
        <v>299</v>
      </c>
      <c r="F101" s="260" t="s">
        <v>325</v>
      </c>
      <c r="G101" s="261" t="s">
        <v>326</v>
      </c>
      <c r="H101" s="261" t="s">
        <v>327</v>
      </c>
      <c r="I101" s="262" t="s">
        <v>328</v>
      </c>
    </row>
    <row r="102" spans="1:15" ht="60">
      <c r="A102" s="760"/>
      <c r="B102" s="764"/>
      <c r="C102" s="794" t="s">
        <v>301</v>
      </c>
      <c r="D102" s="795"/>
      <c r="E102" s="265" t="s">
        <v>339</v>
      </c>
      <c r="F102" s="264" t="s">
        <v>340</v>
      </c>
      <c r="G102" s="265" t="s">
        <v>331</v>
      </c>
      <c r="H102" s="265" t="s">
        <v>302</v>
      </c>
      <c r="I102" s="266" t="s">
        <v>303</v>
      </c>
    </row>
    <row r="103" spans="1:15">
      <c r="A103" s="762"/>
      <c r="B103" s="768"/>
      <c r="C103" s="774" t="s">
        <v>304</v>
      </c>
      <c r="D103" s="775"/>
      <c r="E103" s="267" t="s">
        <v>332</v>
      </c>
      <c r="F103" s="268" t="s">
        <v>332</v>
      </c>
      <c r="G103" s="267" t="s">
        <v>341</v>
      </c>
      <c r="H103" s="267" t="s">
        <v>305</v>
      </c>
      <c r="I103" s="269" t="s">
        <v>306</v>
      </c>
    </row>
    <row r="104" spans="1:15">
      <c r="A104" s="755" t="s">
        <v>308</v>
      </c>
      <c r="B104" s="755"/>
      <c r="C104" s="769">
        <v>1</v>
      </c>
      <c r="D104" s="770"/>
      <c r="E104" s="787">
        <v>8</v>
      </c>
      <c r="F104" s="737" t="s">
        <v>342</v>
      </c>
      <c r="G104" s="788">
        <f>((C104/(C105*D105))*E104*(1/1148.4))</f>
        <v>2.1109738978077533E-6</v>
      </c>
      <c r="H104" s="752">
        <f>E25</f>
        <v>0</v>
      </c>
      <c r="I104" s="786">
        <f>ROUND(G104*H104,2)</f>
        <v>0</v>
      </c>
    </row>
    <row r="105" spans="1:15">
      <c r="A105" s="755"/>
      <c r="B105" s="755"/>
      <c r="C105" s="257">
        <v>30</v>
      </c>
      <c r="D105" s="258">
        <f>[2]Produtividade!$E$18</f>
        <v>110</v>
      </c>
      <c r="E105" s="787"/>
      <c r="F105" s="737"/>
      <c r="G105" s="789"/>
      <c r="H105" s="752"/>
      <c r="I105" s="786"/>
    </row>
    <row r="106" spans="1:15">
      <c r="A106" s="755" t="s">
        <v>309</v>
      </c>
      <c r="B106" s="755"/>
      <c r="C106" s="769">
        <v>1</v>
      </c>
      <c r="D106" s="770"/>
      <c r="E106" s="787">
        <v>8</v>
      </c>
      <c r="F106" s="737" t="s">
        <v>342</v>
      </c>
      <c r="G106" s="788">
        <f>((C106/C107)*E106*(1/1148.4))</f>
        <v>6.3329216934232598E-5</v>
      </c>
      <c r="H106" s="752" t="e">
        <f>E27</f>
        <v>#VALUE!</v>
      </c>
      <c r="I106" s="786" t="e">
        <f>ROUND(G106*H106,2)</f>
        <v>#VALUE!</v>
      </c>
    </row>
    <row r="107" spans="1:15">
      <c r="A107" s="755"/>
      <c r="B107" s="755"/>
      <c r="C107" s="771">
        <f>D105</f>
        <v>110</v>
      </c>
      <c r="D107" s="772"/>
      <c r="E107" s="787"/>
      <c r="F107" s="737"/>
      <c r="G107" s="789"/>
      <c r="H107" s="752"/>
      <c r="I107" s="786"/>
    </row>
    <row r="108" spans="1:15">
      <c r="A108" s="773" t="s">
        <v>310</v>
      </c>
      <c r="B108" s="773"/>
      <c r="C108" s="773"/>
      <c r="D108" s="773"/>
      <c r="E108" s="773"/>
      <c r="F108" s="773"/>
      <c r="G108" s="773"/>
      <c r="H108" s="773"/>
      <c r="I108" s="270" t="e">
        <f>SUM(I104:I107)</f>
        <v>#VALUE!</v>
      </c>
    </row>
    <row r="109" spans="1:15">
      <c r="A109" s="271"/>
      <c r="B109" s="271"/>
      <c r="C109" s="271"/>
      <c r="D109" s="271"/>
      <c r="E109" s="271"/>
      <c r="F109" s="271"/>
      <c r="G109" s="271"/>
      <c r="H109" s="271"/>
      <c r="I109" s="272"/>
      <c r="J109" s="273"/>
      <c r="K109" s="273"/>
      <c r="L109" s="273"/>
      <c r="M109" s="273"/>
      <c r="N109" s="273"/>
      <c r="O109" s="273"/>
    </row>
    <row r="110" spans="1:15">
      <c r="A110" s="777" t="s">
        <v>343</v>
      </c>
      <c r="B110" s="778"/>
      <c r="C110" s="778"/>
      <c r="D110" s="778"/>
      <c r="E110" s="778"/>
      <c r="F110" s="778"/>
      <c r="G110" s="778"/>
      <c r="H110" s="778"/>
      <c r="I110" s="779"/>
    </row>
    <row r="111" spans="1:15">
      <c r="A111" s="760" t="s">
        <v>297</v>
      </c>
      <c r="B111" s="764"/>
      <c r="C111" s="780" t="s">
        <v>298</v>
      </c>
      <c r="D111" s="781"/>
      <c r="E111" s="780" t="s">
        <v>299</v>
      </c>
      <c r="F111" s="781"/>
      <c r="G111" s="782" t="s">
        <v>300</v>
      </c>
      <c r="H111" s="783"/>
      <c r="I111" s="784"/>
    </row>
    <row r="112" spans="1:15">
      <c r="A112" s="760"/>
      <c r="B112" s="764"/>
      <c r="C112" s="780" t="s">
        <v>301</v>
      </c>
      <c r="D112" s="781"/>
      <c r="E112" s="780" t="s">
        <v>302</v>
      </c>
      <c r="F112" s="781"/>
      <c r="G112" s="780" t="s">
        <v>303</v>
      </c>
      <c r="H112" s="785"/>
      <c r="I112" s="781"/>
    </row>
    <row r="113" spans="1:9">
      <c r="A113" s="762"/>
      <c r="B113" s="768"/>
      <c r="C113" s="774" t="s">
        <v>304</v>
      </c>
      <c r="D113" s="775"/>
      <c r="E113" s="774" t="s">
        <v>305</v>
      </c>
      <c r="F113" s="775"/>
      <c r="G113" s="774" t="s">
        <v>306</v>
      </c>
      <c r="H113" s="776"/>
      <c r="I113" s="775"/>
    </row>
    <row r="114" spans="1:9">
      <c r="A114" s="765" t="s">
        <v>308</v>
      </c>
      <c r="B114" s="767"/>
      <c r="C114" s="769">
        <v>1</v>
      </c>
      <c r="D114" s="770"/>
      <c r="E114" s="752">
        <f>E70</f>
        <v>0</v>
      </c>
      <c r="F114" s="752"/>
      <c r="G114" s="737">
        <f>ROUND(E114*(C114/(C115*D115)),2)</f>
        <v>0</v>
      </c>
      <c r="H114" s="737"/>
      <c r="I114" s="737"/>
    </row>
    <row r="115" spans="1:9">
      <c r="A115" s="760"/>
      <c r="B115" s="764"/>
      <c r="C115" s="257">
        <v>30</v>
      </c>
      <c r="D115" s="258">
        <f>[2]Produtividade!$E$19</f>
        <v>330</v>
      </c>
      <c r="E115" s="752"/>
      <c r="F115" s="752"/>
      <c r="G115" s="737"/>
      <c r="H115" s="737"/>
      <c r="I115" s="737"/>
    </row>
    <row r="116" spans="1:9">
      <c r="A116" s="760" t="s">
        <v>309</v>
      </c>
      <c r="B116" s="764"/>
      <c r="C116" s="769">
        <v>1</v>
      </c>
      <c r="D116" s="770"/>
      <c r="E116" s="752" t="e">
        <f>E72</f>
        <v>#VALUE!</v>
      </c>
      <c r="F116" s="752"/>
      <c r="G116" s="737" t="e">
        <f>ROUND(E116*(C116/(C117)),2)</f>
        <v>#VALUE!</v>
      </c>
      <c r="H116" s="737"/>
      <c r="I116" s="737"/>
    </row>
    <row r="117" spans="1:9">
      <c r="A117" s="762"/>
      <c r="B117" s="768"/>
      <c r="C117" s="771">
        <f>D115</f>
        <v>330</v>
      </c>
      <c r="D117" s="772"/>
      <c r="E117" s="752"/>
      <c r="F117" s="752"/>
      <c r="G117" s="737"/>
      <c r="H117" s="737"/>
      <c r="I117" s="737"/>
    </row>
    <row r="118" spans="1:9">
      <c r="A118" s="773" t="s">
        <v>310</v>
      </c>
      <c r="B118" s="773"/>
      <c r="C118" s="773"/>
      <c r="D118" s="773"/>
      <c r="E118" s="773"/>
      <c r="F118" s="773"/>
      <c r="G118" s="739" t="e">
        <f>ROUND(SUM(G114:H117),2)</f>
        <v>#VALUE!</v>
      </c>
      <c r="H118" s="739"/>
      <c r="I118" s="739"/>
    </row>
    <row r="119" spans="1:9">
      <c r="A119" s="254"/>
      <c r="B119" s="254"/>
      <c r="C119" s="254"/>
      <c r="D119" s="254"/>
      <c r="E119" s="254"/>
      <c r="F119" s="254"/>
      <c r="G119" s="254"/>
      <c r="H119" s="254"/>
      <c r="I119" s="255" t="s">
        <v>344</v>
      </c>
    </row>
    <row r="120" spans="1:9" ht="26.25">
      <c r="A120" s="758" t="s">
        <v>293</v>
      </c>
      <c r="B120" s="758"/>
      <c r="C120" s="758"/>
      <c r="D120" s="758"/>
      <c r="E120" s="758"/>
      <c r="F120" s="758"/>
      <c r="G120" s="758"/>
      <c r="H120" s="758"/>
      <c r="I120" s="758"/>
    </row>
    <row r="121" spans="1:9">
      <c r="A121" s="759" t="s">
        <v>294</v>
      </c>
      <c r="B121" s="759"/>
      <c r="C121" s="759"/>
      <c r="D121" s="759"/>
      <c r="E121" s="759"/>
      <c r="F121" s="759"/>
      <c r="G121" s="759"/>
      <c r="H121" s="759"/>
      <c r="I121" s="759"/>
    </row>
    <row r="122" spans="1:9">
      <c r="A122" s="759" t="s">
        <v>345</v>
      </c>
      <c r="B122" s="759"/>
      <c r="C122" s="759"/>
      <c r="D122" s="759"/>
      <c r="E122" s="759"/>
      <c r="F122" s="759"/>
      <c r="G122" s="759"/>
      <c r="H122" s="759"/>
      <c r="I122" s="759"/>
    </row>
    <row r="123" spans="1:9">
      <c r="A123" s="760" t="s">
        <v>346</v>
      </c>
      <c r="B123" s="761"/>
      <c r="C123" s="761"/>
      <c r="D123" s="760" t="s">
        <v>347</v>
      </c>
      <c r="E123" s="764"/>
      <c r="F123" s="266" t="s">
        <v>348</v>
      </c>
      <c r="G123" s="765" t="s">
        <v>303</v>
      </c>
      <c r="H123" s="766"/>
      <c r="I123" s="767"/>
    </row>
    <row r="124" spans="1:9">
      <c r="A124" s="762"/>
      <c r="B124" s="763"/>
      <c r="C124" s="763"/>
      <c r="D124" s="762" t="s">
        <v>306</v>
      </c>
      <c r="E124" s="768"/>
      <c r="F124" s="274" t="s">
        <v>349</v>
      </c>
      <c r="G124" s="762" t="s">
        <v>305</v>
      </c>
      <c r="H124" s="763"/>
      <c r="I124" s="768"/>
    </row>
    <row r="125" spans="1:9">
      <c r="A125" s="755" t="s">
        <v>350</v>
      </c>
      <c r="B125" s="722" t="s">
        <v>351</v>
      </c>
      <c r="C125" s="722"/>
      <c r="D125" s="736" t="e">
        <f>G14</f>
        <v>#VALUE!</v>
      </c>
      <c r="E125" s="736"/>
      <c r="F125" s="275">
        <f>[2]Servente!$E$16</f>
        <v>0</v>
      </c>
      <c r="G125" s="737" t="e">
        <f t="shared" ref="G125:G130" si="0">D125*F125</f>
        <v>#VALUE!</v>
      </c>
      <c r="H125" s="737"/>
      <c r="I125" s="737"/>
    </row>
    <row r="126" spans="1:9">
      <c r="A126" s="755"/>
      <c r="B126" s="722" t="s">
        <v>352</v>
      </c>
      <c r="C126" s="722"/>
      <c r="D126" s="752" t="e">
        <f>G19</f>
        <v>#VALUE!</v>
      </c>
      <c r="E126" s="753"/>
      <c r="F126" s="275">
        <f>[2]Servente!$E$17</f>
        <v>1750</v>
      </c>
      <c r="G126" s="737" t="e">
        <f t="shared" si="0"/>
        <v>#VALUE!</v>
      </c>
      <c r="H126" s="737"/>
      <c r="I126" s="737"/>
    </row>
    <row r="127" spans="1:9">
      <c r="A127" s="755"/>
      <c r="B127" s="722" t="s">
        <v>312</v>
      </c>
      <c r="C127" s="722"/>
      <c r="D127" s="752" t="e">
        <f>G24</f>
        <v>#VALUE!</v>
      </c>
      <c r="E127" s="753"/>
      <c r="F127" s="275">
        <f>[2]Servente!$E$18</f>
        <v>0</v>
      </c>
      <c r="G127" s="737" t="e">
        <f>D127*F127</f>
        <v>#VALUE!</v>
      </c>
      <c r="H127" s="737"/>
      <c r="I127" s="737"/>
    </row>
    <row r="128" spans="1:9">
      <c r="A128" s="755"/>
      <c r="B128" s="722" t="s">
        <v>353</v>
      </c>
      <c r="C128" s="722"/>
      <c r="D128" s="752" t="e">
        <f>G29</f>
        <v>#VALUE!</v>
      </c>
      <c r="E128" s="753"/>
      <c r="F128" s="275">
        <f>[2]Servente!$E$19</f>
        <v>0</v>
      </c>
      <c r="G128" s="737" t="e">
        <f t="shared" si="0"/>
        <v>#VALUE!</v>
      </c>
      <c r="H128" s="737"/>
      <c r="I128" s="737"/>
    </row>
    <row r="129" spans="1:9">
      <c r="A129" s="755"/>
      <c r="B129" s="722" t="s">
        <v>314</v>
      </c>
      <c r="C129" s="722"/>
      <c r="D129" s="752" t="e">
        <f>G34</f>
        <v>#VALUE!</v>
      </c>
      <c r="E129" s="753"/>
      <c r="F129" s="275">
        <f>[2]Servente!$E$20</f>
        <v>0</v>
      </c>
      <c r="G129" s="737" t="e">
        <f t="shared" si="0"/>
        <v>#VALUE!</v>
      </c>
      <c r="H129" s="737"/>
      <c r="I129" s="737"/>
    </row>
    <row r="130" spans="1:9">
      <c r="A130" s="755"/>
      <c r="B130" s="751" t="s">
        <v>354</v>
      </c>
      <c r="C130" s="751"/>
      <c r="D130" s="752" t="e">
        <f>G39</f>
        <v>#VALUE!</v>
      </c>
      <c r="E130" s="753"/>
      <c r="F130" s="754">
        <f>[2]Servente!$E$21</f>
        <v>0</v>
      </c>
      <c r="G130" s="737" t="e">
        <f t="shared" si="0"/>
        <v>#VALUE!</v>
      </c>
      <c r="H130" s="737"/>
      <c r="I130" s="737"/>
    </row>
    <row r="131" spans="1:9">
      <c r="A131" s="755"/>
      <c r="B131" s="751"/>
      <c r="C131" s="751"/>
      <c r="D131" s="753"/>
      <c r="E131" s="753"/>
      <c r="F131" s="754"/>
      <c r="G131" s="737"/>
      <c r="H131" s="737"/>
      <c r="I131" s="737"/>
    </row>
    <row r="132" spans="1:9">
      <c r="A132" s="738" t="s">
        <v>355</v>
      </c>
      <c r="B132" s="738"/>
      <c r="C132" s="738"/>
      <c r="D132" s="738"/>
      <c r="E132" s="738"/>
      <c r="F132" s="738"/>
      <c r="G132" s="739" t="e">
        <f>SUM(G125:H131)</f>
        <v>#VALUE!</v>
      </c>
      <c r="H132" s="739"/>
      <c r="I132" s="739"/>
    </row>
    <row r="133" spans="1:9">
      <c r="A133" s="755" t="s">
        <v>356</v>
      </c>
      <c r="B133" s="756" t="s">
        <v>357</v>
      </c>
      <c r="C133" s="757"/>
      <c r="D133" s="736" t="e">
        <f>G49</f>
        <v>#VALUE!</v>
      </c>
      <c r="E133" s="736"/>
      <c r="F133" s="275">
        <f>[2]Servente!$E$23</f>
        <v>0</v>
      </c>
      <c r="G133" s="737" t="e">
        <f t="shared" ref="G133:G138" si="1">D133*F133</f>
        <v>#VALUE!</v>
      </c>
      <c r="H133" s="737"/>
      <c r="I133" s="737"/>
    </row>
    <row r="134" spans="1:9">
      <c r="A134" s="755"/>
      <c r="B134" s="733" t="s">
        <v>358</v>
      </c>
      <c r="C134" s="735"/>
      <c r="D134" s="752" t="e">
        <f>G54</f>
        <v>#VALUE!</v>
      </c>
      <c r="E134" s="753"/>
      <c r="F134" s="275">
        <f>[2]Servente!$E$24</f>
        <v>0</v>
      </c>
      <c r="G134" s="737" t="e">
        <f t="shared" si="1"/>
        <v>#VALUE!</v>
      </c>
      <c r="H134" s="737"/>
      <c r="I134" s="737"/>
    </row>
    <row r="135" spans="1:9">
      <c r="A135" s="755"/>
      <c r="B135" s="751" t="s">
        <v>359</v>
      </c>
      <c r="C135" s="751"/>
      <c r="D135" s="752" t="e">
        <f>G59</f>
        <v>#VALUE!</v>
      </c>
      <c r="E135" s="753"/>
      <c r="F135" s="275">
        <f>[2]Servente!$E$25</f>
        <v>0</v>
      </c>
      <c r="G135" s="737" t="e">
        <f t="shared" si="1"/>
        <v>#VALUE!</v>
      </c>
      <c r="H135" s="737"/>
      <c r="I135" s="737"/>
    </row>
    <row r="136" spans="1:9">
      <c r="A136" s="755"/>
      <c r="B136" s="751" t="s">
        <v>360</v>
      </c>
      <c r="C136" s="751"/>
      <c r="D136" s="752" t="e">
        <f>G64</f>
        <v>#VALUE!</v>
      </c>
      <c r="E136" s="753"/>
      <c r="F136" s="275">
        <f>[2]Servente!$E$26</f>
        <v>0</v>
      </c>
      <c r="G136" s="737" t="e">
        <f t="shared" si="1"/>
        <v>#VALUE!</v>
      </c>
      <c r="H136" s="737"/>
      <c r="I136" s="737"/>
    </row>
    <row r="137" spans="1:9">
      <c r="A137" s="755"/>
      <c r="B137" s="751" t="s">
        <v>361</v>
      </c>
      <c r="C137" s="751"/>
      <c r="D137" s="752" t="e">
        <f>G69</f>
        <v>#VALUE!</v>
      </c>
      <c r="E137" s="753"/>
      <c r="F137" s="275">
        <f>[2]Servente!$E$27</f>
        <v>0</v>
      </c>
      <c r="G137" s="737" t="e">
        <f t="shared" si="1"/>
        <v>#VALUE!</v>
      </c>
      <c r="H137" s="737"/>
      <c r="I137" s="737"/>
    </row>
    <row r="138" spans="1:9">
      <c r="A138" s="755"/>
      <c r="B138" s="751" t="s">
        <v>362</v>
      </c>
      <c r="C138" s="751"/>
      <c r="D138" s="752" t="e">
        <f>G74</f>
        <v>#VALUE!</v>
      </c>
      <c r="E138" s="753"/>
      <c r="F138" s="754">
        <f>[2]Servente!$E$28</f>
        <v>920</v>
      </c>
      <c r="G138" s="737" t="e">
        <f t="shared" si="1"/>
        <v>#VALUE!</v>
      </c>
      <c r="H138" s="737"/>
      <c r="I138" s="737"/>
    </row>
    <row r="139" spans="1:9">
      <c r="A139" s="755"/>
      <c r="B139" s="751"/>
      <c r="C139" s="751"/>
      <c r="D139" s="753"/>
      <c r="E139" s="753"/>
      <c r="F139" s="754"/>
      <c r="G139" s="737"/>
      <c r="H139" s="737"/>
      <c r="I139" s="737"/>
    </row>
    <row r="140" spans="1:9">
      <c r="A140" s="738" t="s">
        <v>363</v>
      </c>
      <c r="B140" s="738"/>
      <c r="C140" s="738"/>
      <c r="D140" s="738"/>
      <c r="E140" s="738"/>
      <c r="F140" s="738"/>
      <c r="G140" s="739" t="e">
        <f>SUM(G133:H139)</f>
        <v>#VALUE!</v>
      </c>
      <c r="H140" s="739"/>
      <c r="I140" s="739"/>
    </row>
    <row r="141" spans="1:9">
      <c r="A141" s="747" t="s">
        <v>364</v>
      </c>
      <c r="B141" s="743" t="s">
        <v>365</v>
      </c>
      <c r="C141" s="745"/>
      <c r="D141" s="746" t="e">
        <f>I88</f>
        <v>#VALUE!</v>
      </c>
      <c r="E141" s="746"/>
      <c r="F141" s="275">
        <f>[2]Servente!$E$30</f>
        <v>220</v>
      </c>
      <c r="G141" s="737" t="e">
        <f>D141*F141</f>
        <v>#VALUE!</v>
      </c>
      <c r="H141" s="737"/>
      <c r="I141" s="737"/>
    </row>
    <row r="142" spans="1:9">
      <c r="A142" s="748"/>
      <c r="B142" s="743" t="s">
        <v>366</v>
      </c>
      <c r="C142" s="745"/>
      <c r="D142" s="746" t="e">
        <f>I93</f>
        <v>#VALUE!</v>
      </c>
      <c r="E142" s="749"/>
      <c r="F142" s="275">
        <f>[2]Servente!$E$31</f>
        <v>140</v>
      </c>
      <c r="G142" s="737" t="e">
        <f>D142*F142</f>
        <v>#VALUE!</v>
      </c>
      <c r="H142" s="737"/>
      <c r="I142" s="737"/>
    </row>
    <row r="143" spans="1:9">
      <c r="A143" s="748"/>
      <c r="B143" s="750" t="s">
        <v>367</v>
      </c>
      <c r="C143" s="750"/>
      <c r="D143" s="746" t="e">
        <f>I98</f>
        <v>#VALUE!</v>
      </c>
      <c r="E143" s="749"/>
      <c r="F143" s="275">
        <f>[2]Servente!$E$32</f>
        <v>360</v>
      </c>
      <c r="G143" s="737" t="e">
        <f>D143*F143</f>
        <v>#VALUE!</v>
      </c>
      <c r="H143" s="737"/>
      <c r="I143" s="737"/>
    </row>
    <row r="144" spans="1:9">
      <c r="A144" s="742" t="s">
        <v>368</v>
      </c>
      <c r="B144" s="742"/>
      <c r="C144" s="742"/>
      <c r="D144" s="742"/>
      <c r="E144" s="742"/>
      <c r="F144" s="742"/>
      <c r="G144" s="739" t="e">
        <f>SUM(G141:H143)</f>
        <v>#VALUE!</v>
      </c>
      <c r="H144" s="739"/>
      <c r="I144" s="739"/>
    </row>
    <row r="145" spans="1:15">
      <c r="A145" s="743" t="s">
        <v>369</v>
      </c>
      <c r="B145" s="744"/>
      <c r="C145" s="745"/>
      <c r="D145" s="746" t="e">
        <f>I108</f>
        <v>#VALUE!</v>
      </c>
      <c r="E145" s="746"/>
      <c r="F145" s="275">
        <f>[2]Servente!$E$34</f>
        <v>0</v>
      </c>
      <c r="G145" s="737" t="e">
        <f>D145*F145</f>
        <v>#VALUE!</v>
      </c>
      <c r="H145" s="737"/>
      <c r="I145" s="737"/>
    </row>
    <row r="146" spans="1:15">
      <c r="A146" s="738" t="s">
        <v>370</v>
      </c>
      <c r="B146" s="738"/>
      <c r="C146" s="738"/>
      <c r="D146" s="738"/>
      <c r="E146" s="738"/>
      <c r="F146" s="738"/>
      <c r="G146" s="739" t="e">
        <f>SUM(G145:H145)</f>
        <v>#VALUE!</v>
      </c>
      <c r="H146" s="739"/>
      <c r="I146" s="739"/>
    </row>
    <row r="147" spans="1:15">
      <c r="A147" s="733" t="s">
        <v>343</v>
      </c>
      <c r="B147" s="734"/>
      <c r="C147" s="735"/>
      <c r="D147" s="736" t="e">
        <f>G118</f>
        <v>#VALUE!</v>
      </c>
      <c r="E147" s="736"/>
      <c r="F147" s="275">
        <f>[2]Servente!$E$36</f>
        <v>0</v>
      </c>
      <c r="G147" s="737" t="e">
        <f>D147*F147</f>
        <v>#VALUE!</v>
      </c>
      <c r="H147" s="737"/>
      <c r="I147" s="737"/>
    </row>
    <row r="148" spans="1:15">
      <c r="A148" s="738" t="s">
        <v>371</v>
      </c>
      <c r="B148" s="738"/>
      <c r="C148" s="738"/>
      <c r="D148" s="738"/>
      <c r="E148" s="738"/>
      <c r="F148" s="738"/>
      <c r="G148" s="739" t="e">
        <f>SUM(G147:H147)</f>
        <v>#VALUE!</v>
      </c>
      <c r="H148" s="739"/>
      <c r="I148" s="739"/>
    </row>
    <row r="149" spans="1:15" ht="21">
      <c r="A149" s="740" t="s">
        <v>372</v>
      </c>
      <c r="B149" s="740"/>
      <c r="C149" s="740"/>
      <c r="D149" s="740"/>
      <c r="E149" s="740"/>
      <c r="F149" s="740"/>
      <c r="G149" s="741" t="e">
        <f>G132+G140+G144+G146+G148</f>
        <v>#VALUE!</v>
      </c>
      <c r="H149" s="741"/>
      <c r="I149" s="741"/>
    </row>
    <row r="150" spans="1:15">
      <c r="A150" s="254"/>
      <c r="B150" s="254"/>
      <c r="C150" s="254"/>
      <c r="D150" s="254"/>
      <c r="E150" s="254"/>
      <c r="F150" s="254"/>
      <c r="G150" s="254"/>
      <c r="H150" s="254"/>
      <c r="I150" s="254"/>
    </row>
    <row r="151" spans="1:15">
      <c r="A151" s="726" t="s">
        <v>373</v>
      </c>
      <c r="B151" s="726"/>
      <c r="C151" s="726"/>
      <c r="D151" s="726"/>
      <c r="E151" s="727" t="s">
        <v>374</v>
      </c>
      <c r="F151" s="727"/>
      <c r="G151" s="728" t="e">
        <f>G149*E152</f>
        <v>#VALUE!</v>
      </c>
      <c r="H151" s="728"/>
      <c r="I151" s="728"/>
    </row>
    <row r="152" spans="1:15">
      <c r="A152" s="726"/>
      <c r="B152" s="726"/>
      <c r="C152" s="726"/>
      <c r="D152" s="726"/>
      <c r="E152" s="729">
        <f>[2]Servente!$F$13</f>
        <v>12</v>
      </c>
      <c r="F152" s="730"/>
      <c r="G152" s="728"/>
      <c r="H152" s="728"/>
      <c r="I152" s="728"/>
    </row>
    <row r="153" spans="1:15">
      <c r="A153" s="254"/>
      <c r="B153" s="254"/>
      <c r="C153" s="254"/>
      <c r="D153" s="254"/>
      <c r="E153" s="254"/>
      <c r="F153" s="254"/>
      <c r="G153" s="254"/>
      <c r="H153" s="254"/>
      <c r="I153" s="254"/>
    </row>
    <row r="154" spans="1:15">
      <c r="A154" s="731" t="s">
        <v>375</v>
      </c>
      <c r="B154" s="732"/>
      <c r="C154" s="732"/>
      <c r="D154" s="732"/>
      <c r="E154" s="732"/>
      <c r="F154" s="732"/>
      <c r="G154" s="732"/>
      <c r="H154" s="732"/>
      <c r="I154" s="732"/>
    </row>
    <row r="155" spans="1:15">
      <c r="A155" s="727" t="s">
        <v>376</v>
      </c>
      <c r="B155" s="727"/>
      <c r="C155" s="727"/>
      <c r="D155" s="727"/>
      <c r="E155" s="727" t="s">
        <v>377</v>
      </c>
      <c r="F155" s="727"/>
      <c r="G155" s="727"/>
      <c r="H155" s="727"/>
      <c r="I155" s="727"/>
    </row>
    <row r="156" spans="1:15">
      <c r="A156" s="722" t="s">
        <v>309</v>
      </c>
      <c r="B156" s="722"/>
      <c r="C156" s="722"/>
      <c r="D156" s="722"/>
      <c r="E156" s="723" t="e">
        <f>ROUND(G149/E12,2)</f>
        <v>#VALUE!</v>
      </c>
      <c r="F156" s="723"/>
      <c r="G156" s="723"/>
      <c r="H156" s="723"/>
      <c r="I156" s="723"/>
    </row>
    <row r="157" spans="1:15">
      <c r="A157" s="722" t="s">
        <v>308</v>
      </c>
      <c r="B157" s="722"/>
      <c r="C157" s="722"/>
      <c r="D157" s="722"/>
      <c r="E157" s="724" t="e">
        <f>ROUND((E156/30),0)</f>
        <v>#VALUE!</v>
      </c>
      <c r="F157" s="724"/>
      <c r="G157" s="724"/>
      <c r="H157" s="724"/>
      <c r="I157" s="724"/>
    </row>
    <row r="160" spans="1:15">
      <c r="A160" s="276"/>
      <c r="B160" s="276"/>
      <c r="C160" s="276"/>
      <c r="D160" s="276"/>
      <c r="E160" s="276"/>
      <c r="F160" s="276"/>
      <c r="G160" s="276"/>
      <c r="H160" s="276"/>
      <c r="I160" s="277"/>
      <c r="J160" s="276"/>
      <c r="K160" s="276"/>
      <c r="L160" s="276"/>
      <c r="M160" s="276"/>
      <c r="N160" s="276"/>
      <c r="O160" s="276"/>
    </row>
    <row r="161" spans="1:15">
      <c r="A161" s="725"/>
      <c r="B161" s="725"/>
      <c r="C161" s="725"/>
      <c r="D161" s="725"/>
      <c r="E161" s="725"/>
      <c r="F161" s="725"/>
      <c r="G161" s="725"/>
      <c r="H161" s="725"/>
      <c r="I161" s="276"/>
      <c r="J161" s="276"/>
      <c r="K161" s="276"/>
      <c r="L161" s="276"/>
      <c r="M161" s="276"/>
      <c r="N161" s="276"/>
      <c r="O161" s="276"/>
    </row>
  </sheetData>
  <mergeCells count="359">
    <mergeCell ref="A2:I2"/>
    <mergeCell ref="A3:I3"/>
    <mergeCell ref="A4:I4"/>
    <mergeCell ref="A6:I6"/>
    <mergeCell ref="A7:B9"/>
    <mergeCell ref="C7:D7"/>
    <mergeCell ref="E7:F7"/>
    <mergeCell ref="G7:I7"/>
    <mergeCell ref="C8:D8"/>
    <mergeCell ref="E8:F8"/>
    <mergeCell ref="C12:D12"/>
    <mergeCell ref="E12:F13"/>
    <mergeCell ref="G12:I13"/>
    <mergeCell ref="C13:D13"/>
    <mergeCell ref="A14:F14"/>
    <mergeCell ref="G14:I14"/>
    <mergeCell ref="G8:I8"/>
    <mergeCell ref="C9:D9"/>
    <mergeCell ref="E9:F9"/>
    <mergeCell ref="G9:I9"/>
    <mergeCell ref="A10:A13"/>
    <mergeCell ref="B10:B11"/>
    <mergeCell ref="C10:D10"/>
    <mergeCell ref="E10:F11"/>
    <mergeCell ref="G10:I11"/>
    <mergeCell ref="B12:B13"/>
    <mergeCell ref="A15:A18"/>
    <mergeCell ref="B15:B16"/>
    <mergeCell ref="C15:D15"/>
    <mergeCell ref="E15:F16"/>
    <mergeCell ref="G15:I16"/>
    <mergeCell ref="B17:B18"/>
    <mergeCell ref="C17:D17"/>
    <mergeCell ref="E17:F18"/>
    <mergeCell ref="G17:I18"/>
    <mergeCell ref="C18:D18"/>
    <mergeCell ref="A19:F19"/>
    <mergeCell ref="G19:I19"/>
    <mergeCell ref="A20:A23"/>
    <mergeCell ref="B20:B21"/>
    <mergeCell ref="C20:D20"/>
    <mergeCell ref="E20:F21"/>
    <mergeCell ref="G20:I21"/>
    <mergeCell ref="B22:B23"/>
    <mergeCell ref="C22:D22"/>
    <mergeCell ref="E22:F23"/>
    <mergeCell ref="C27:D27"/>
    <mergeCell ref="E27:F28"/>
    <mergeCell ref="G27:I28"/>
    <mergeCell ref="C28:D28"/>
    <mergeCell ref="A29:F29"/>
    <mergeCell ref="G29:I29"/>
    <mergeCell ref="G22:I23"/>
    <mergeCell ref="C23:D23"/>
    <mergeCell ref="A24:F24"/>
    <mergeCell ref="G24:I24"/>
    <mergeCell ref="A25:A28"/>
    <mergeCell ref="B25:B26"/>
    <mergeCell ref="C25:D25"/>
    <mergeCell ref="E25:F26"/>
    <mergeCell ref="G25:I26"/>
    <mergeCell ref="B27:B28"/>
    <mergeCell ref="A30:A33"/>
    <mergeCell ref="B30:B31"/>
    <mergeCell ref="C30:D30"/>
    <mergeCell ref="E30:F31"/>
    <mergeCell ref="G30:I31"/>
    <mergeCell ref="B32:B33"/>
    <mergeCell ref="C32:D32"/>
    <mergeCell ref="E32:F33"/>
    <mergeCell ref="G32:I33"/>
    <mergeCell ref="C33:D33"/>
    <mergeCell ref="A34:F34"/>
    <mergeCell ref="G34:I34"/>
    <mergeCell ref="A35:A38"/>
    <mergeCell ref="B35:B36"/>
    <mergeCell ref="C35:D35"/>
    <mergeCell ref="E35:F36"/>
    <mergeCell ref="G35:I36"/>
    <mergeCell ref="B37:B38"/>
    <mergeCell ref="C37:D37"/>
    <mergeCell ref="E37:F38"/>
    <mergeCell ref="G37:I38"/>
    <mergeCell ref="C38:D38"/>
    <mergeCell ref="A39:F39"/>
    <mergeCell ref="G39:I39"/>
    <mergeCell ref="A41:I41"/>
    <mergeCell ref="A42:B44"/>
    <mergeCell ref="C42:D42"/>
    <mergeCell ref="E42:F42"/>
    <mergeCell ref="G42:I42"/>
    <mergeCell ref="C43:D43"/>
    <mergeCell ref="B47:B48"/>
    <mergeCell ref="C47:D47"/>
    <mergeCell ref="E47:F48"/>
    <mergeCell ref="G47:I48"/>
    <mergeCell ref="C48:D48"/>
    <mergeCell ref="A49:F49"/>
    <mergeCell ref="G49:I49"/>
    <mergeCell ref="E43:F43"/>
    <mergeCell ref="G43:I43"/>
    <mergeCell ref="C44:D44"/>
    <mergeCell ref="E44:F44"/>
    <mergeCell ref="G44:I44"/>
    <mergeCell ref="A45:A48"/>
    <mergeCell ref="B45:B46"/>
    <mergeCell ref="C45:D45"/>
    <mergeCell ref="E45:F46"/>
    <mergeCell ref="G45:I46"/>
    <mergeCell ref="A50:A53"/>
    <mergeCell ref="B50:B51"/>
    <mergeCell ref="C50:D50"/>
    <mergeCell ref="E50:F51"/>
    <mergeCell ref="G50:I51"/>
    <mergeCell ref="B52:B53"/>
    <mergeCell ref="C52:D52"/>
    <mergeCell ref="E52:F53"/>
    <mergeCell ref="G52:I53"/>
    <mergeCell ref="C53:D53"/>
    <mergeCell ref="A54:F54"/>
    <mergeCell ref="G54:I54"/>
    <mergeCell ref="A55:A58"/>
    <mergeCell ref="B55:B56"/>
    <mergeCell ref="C55:D55"/>
    <mergeCell ref="E55:F56"/>
    <mergeCell ref="G55:I56"/>
    <mergeCell ref="B57:B58"/>
    <mergeCell ref="C57:D57"/>
    <mergeCell ref="E57:F58"/>
    <mergeCell ref="C62:D62"/>
    <mergeCell ref="E62:F63"/>
    <mergeCell ref="G62:I63"/>
    <mergeCell ref="C63:D63"/>
    <mergeCell ref="A64:F64"/>
    <mergeCell ref="G64:I64"/>
    <mergeCell ref="G57:I58"/>
    <mergeCell ref="C58:D58"/>
    <mergeCell ref="A59:F59"/>
    <mergeCell ref="G59:I59"/>
    <mergeCell ref="A60:A63"/>
    <mergeCell ref="B60:B61"/>
    <mergeCell ref="C60:D60"/>
    <mergeCell ref="E60:F61"/>
    <mergeCell ref="G60:I61"/>
    <mergeCell ref="B62:B63"/>
    <mergeCell ref="A65:A68"/>
    <mergeCell ref="B65:B66"/>
    <mergeCell ref="C65:D65"/>
    <mergeCell ref="E65:F66"/>
    <mergeCell ref="G65:I66"/>
    <mergeCell ref="B67:B68"/>
    <mergeCell ref="C67:D67"/>
    <mergeCell ref="E67:F68"/>
    <mergeCell ref="G67:I68"/>
    <mergeCell ref="C68:D68"/>
    <mergeCell ref="A69:F69"/>
    <mergeCell ref="G69:I69"/>
    <mergeCell ref="A70:A73"/>
    <mergeCell ref="B70:B71"/>
    <mergeCell ref="C70:D70"/>
    <mergeCell ref="E70:F71"/>
    <mergeCell ref="G70:I71"/>
    <mergeCell ref="B72:B73"/>
    <mergeCell ref="C72:D72"/>
    <mergeCell ref="E72:F73"/>
    <mergeCell ref="A78:I78"/>
    <mergeCell ref="A80:I80"/>
    <mergeCell ref="A81:B83"/>
    <mergeCell ref="C81:D81"/>
    <mergeCell ref="C82:D82"/>
    <mergeCell ref="C83:D83"/>
    <mergeCell ref="G72:I73"/>
    <mergeCell ref="C73:D73"/>
    <mergeCell ref="A74:F74"/>
    <mergeCell ref="G74:I74"/>
    <mergeCell ref="A76:I76"/>
    <mergeCell ref="A77:I77"/>
    <mergeCell ref="I84:I85"/>
    <mergeCell ref="B86:B87"/>
    <mergeCell ref="C86:D86"/>
    <mergeCell ref="E86:E87"/>
    <mergeCell ref="F86:F87"/>
    <mergeCell ref="G86:G87"/>
    <mergeCell ref="H86:H87"/>
    <mergeCell ref="I86:I87"/>
    <mergeCell ref="C87:D87"/>
    <mergeCell ref="B84:B85"/>
    <mergeCell ref="C84:D84"/>
    <mergeCell ref="E84:E85"/>
    <mergeCell ref="F84:F85"/>
    <mergeCell ref="G84:G85"/>
    <mergeCell ref="A88:H88"/>
    <mergeCell ref="A89:A92"/>
    <mergeCell ref="B89:B90"/>
    <mergeCell ref="C89:D89"/>
    <mergeCell ref="E89:E90"/>
    <mergeCell ref="F89:F90"/>
    <mergeCell ref="G89:G90"/>
    <mergeCell ref="H89:H90"/>
    <mergeCell ref="H84:H85"/>
    <mergeCell ref="A84:A87"/>
    <mergeCell ref="A93:H93"/>
    <mergeCell ref="A94:A97"/>
    <mergeCell ref="B94:B95"/>
    <mergeCell ref="C94:D94"/>
    <mergeCell ref="E94:E95"/>
    <mergeCell ref="F94:F95"/>
    <mergeCell ref="G94:G95"/>
    <mergeCell ref="H94:H95"/>
    <mergeCell ref="I89:I90"/>
    <mergeCell ref="B91:B92"/>
    <mergeCell ref="C91:D91"/>
    <mergeCell ref="E91:E92"/>
    <mergeCell ref="F91:F92"/>
    <mergeCell ref="G91:G92"/>
    <mergeCell ref="H91:H92"/>
    <mergeCell ref="I91:I92"/>
    <mergeCell ref="C92:D92"/>
    <mergeCell ref="A98:H98"/>
    <mergeCell ref="A100:I100"/>
    <mergeCell ref="A101:B103"/>
    <mergeCell ref="C101:D101"/>
    <mergeCell ref="C102:D102"/>
    <mergeCell ref="C103:D103"/>
    <mergeCell ref="I94:I95"/>
    <mergeCell ref="B96:B97"/>
    <mergeCell ref="C96:D96"/>
    <mergeCell ref="E96:E97"/>
    <mergeCell ref="F96:F97"/>
    <mergeCell ref="G96:G97"/>
    <mergeCell ref="H96:H97"/>
    <mergeCell ref="I96:I97"/>
    <mergeCell ref="C97:D97"/>
    <mergeCell ref="I104:I105"/>
    <mergeCell ref="A106:B107"/>
    <mergeCell ref="C106:D106"/>
    <mergeCell ref="E106:E107"/>
    <mergeCell ref="F106:F107"/>
    <mergeCell ref="G106:G107"/>
    <mergeCell ref="H106:H107"/>
    <mergeCell ref="I106:I107"/>
    <mergeCell ref="C107:D107"/>
    <mergeCell ref="A104:B105"/>
    <mergeCell ref="C104:D104"/>
    <mergeCell ref="E104:E105"/>
    <mergeCell ref="F104:F105"/>
    <mergeCell ref="G104:G105"/>
    <mergeCell ref="H104:H105"/>
    <mergeCell ref="E113:F113"/>
    <mergeCell ref="G113:I113"/>
    <mergeCell ref="A114:B115"/>
    <mergeCell ref="C114:D114"/>
    <mergeCell ref="E114:F115"/>
    <mergeCell ref="G114:I115"/>
    <mergeCell ref="A108:H108"/>
    <mergeCell ref="A110:I110"/>
    <mergeCell ref="A111:B113"/>
    <mergeCell ref="C111:D111"/>
    <mergeCell ref="E111:F111"/>
    <mergeCell ref="G111:I111"/>
    <mergeCell ref="C112:D112"/>
    <mergeCell ref="E112:F112"/>
    <mergeCell ref="G112:I112"/>
    <mergeCell ref="C113:D113"/>
    <mergeCell ref="A120:I120"/>
    <mergeCell ref="A121:I121"/>
    <mergeCell ref="A122:I122"/>
    <mergeCell ref="A123:C124"/>
    <mergeCell ref="D123:E123"/>
    <mergeCell ref="G123:I123"/>
    <mergeCell ref="D124:E124"/>
    <mergeCell ref="G124:I124"/>
    <mergeCell ref="A116:B117"/>
    <mergeCell ref="C116:D116"/>
    <mergeCell ref="E116:F117"/>
    <mergeCell ref="G116:I117"/>
    <mergeCell ref="C117:D117"/>
    <mergeCell ref="A118:F118"/>
    <mergeCell ref="G118:I118"/>
    <mergeCell ref="B130:C131"/>
    <mergeCell ref="D130:E131"/>
    <mergeCell ref="F130:F131"/>
    <mergeCell ref="G130:I131"/>
    <mergeCell ref="A132:F132"/>
    <mergeCell ref="G132:I132"/>
    <mergeCell ref="B128:C128"/>
    <mergeCell ref="D128:E128"/>
    <mergeCell ref="G128:I128"/>
    <mergeCell ref="B129:C129"/>
    <mergeCell ref="D129:E129"/>
    <mergeCell ref="G129:I129"/>
    <mergeCell ref="A125:A131"/>
    <mergeCell ref="B125:C125"/>
    <mergeCell ref="D125:E125"/>
    <mergeCell ref="G125:I125"/>
    <mergeCell ref="B126:C126"/>
    <mergeCell ref="D126:E126"/>
    <mergeCell ref="G126:I126"/>
    <mergeCell ref="B127:C127"/>
    <mergeCell ref="D127:E127"/>
    <mergeCell ref="G127:I127"/>
    <mergeCell ref="B138:C139"/>
    <mergeCell ref="D138:E139"/>
    <mergeCell ref="F138:F139"/>
    <mergeCell ref="G138:I139"/>
    <mergeCell ref="A140:F140"/>
    <mergeCell ref="G140:I140"/>
    <mergeCell ref="B136:C136"/>
    <mergeCell ref="D136:E136"/>
    <mergeCell ref="G136:I136"/>
    <mergeCell ref="B137:C137"/>
    <mergeCell ref="D137:E137"/>
    <mergeCell ref="G137:I137"/>
    <mergeCell ref="A133:A139"/>
    <mergeCell ref="B133:C133"/>
    <mergeCell ref="D133:E133"/>
    <mergeCell ref="G133:I133"/>
    <mergeCell ref="B134:C134"/>
    <mergeCell ref="D134:E134"/>
    <mergeCell ref="G134:I134"/>
    <mergeCell ref="B135:C135"/>
    <mergeCell ref="D135:E135"/>
    <mergeCell ref="G135:I135"/>
    <mergeCell ref="A141:A143"/>
    <mergeCell ref="B141:C141"/>
    <mergeCell ref="D141:E141"/>
    <mergeCell ref="G141:I141"/>
    <mergeCell ref="B142:C142"/>
    <mergeCell ref="D142:E142"/>
    <mergeCell ref="G142:I142"/>
    <mergeCell ref="B143:C143"/>
    <mergeCell ref="D143:E143"/>
    <mergeCell ref="G143:I143"/>
    <mergeCell ref="A147:C147"/>
    <mergeCell ref="D147:E147"/>
    <mergeCell ref="G147:I147"/>
    <mergeCell ref="A148:F148"/>
    <mergeCell ref="G148:I148"/>
    <mergeCell ref="A149:F149"/>
    <mergeCell ref="G149:I149"/>
    <mergeCell ref="A144:F144"/>
    <mergeCell ref="G144:I144"/>
    <mergeCell ref="A145:C145"/>
    <mergeCell ref="D145:E145"/>
    <mergeCell ref="G145:I145"/>
    <mergeCell ref="A146:F146"/>
    <mergeCell ref="G146:I146"/>
    <mergeCell ref="A156:D156"/>
    <mergeCell ref="E156:I156"/>
    <mergeCell ref="A157:D157"/>
    <mergeCell ref="E157:I157"/>
    <mergeCell ref="A161:H161"/>
    <mergeCell ref="A151:D152"/>
    <mergeCell ref="E151:F151"/>
    <mergeCell ref="G151:I152"/>
    <mergeCell ref="E152:F152"/>
    <mergeCell ref="A154:I154"/>
    <mergeCell ref="A155:D155"/>
    <mergeCell ref="E155:I155"/>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6CCFF"/>
    <pageSetUpPr fitToPage="1"/>
  </sheetPr>
  <dimension ref="A1:O116"/>
  <sheetViews>
    <sheetView view="pageBreakPreview" topLeftCell="A70" zoomScale="85" zoomScaleNormal="100" zoomScaleSheetLayoutView="85" workbookViewId="0">
      <selection activeCell="A3" sqref="A3:K3"/>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666</v>
      </c>
      <c r="B2" s="895"/>
      <c r="C2" s="895"/>
      <c r="D2" s="895"/>
      <c r="E2" s="895"/>
      <c r="F2" s="895"/>
      <c r="G2" s="895"/>
      <c r="H2" s="895"/>
      <c r="I2" s="895"/>
      <c r="J2" s="895"/>
      <c r="K2" s="882"/>
      <c r="L2" s="305"/>
      <c r="M2" s="305"/>
      <c r="N2" s="305"/>
      <c r="O2" s="305"/>
    </row>
    <row r="3" spans="1:15">
      <c r="A3" s="894" t="s">
        <v>667</v>
      </c>
      <c r="B3" s="895"/>
      <c r="C3" s="895"/>
      <c r="D3" s="895"/>
      <c r="E3" s="895"/>
      <c r="F3" s="895"/>
      <c r="G3" s="895"/>
      <c r="H3" s="895"/>
      <c r="I3" s="895"/>
      <c r="J3" s="895"/>
      <c r="K3" s="882"/>
      <c r="L3" s="305"/>
      <c r="M3" s="305"/>
      <c r="N3" s="305"/>
      <c r="O3" s="305"/>
    </row>
    <row r="4" spans="1:15">
      <c r="A4" s="379"/>
      <c r="B4" s="335"/>
      <c r="C4" s="335"/>
      <c r="D4" s="335"/>
      <c r="E4" s="335"/>
      <c r="F4" s="335"/>
      <c r="G4" s="335"/>
      <c r="H4" s="335"/>
      <c r="I4" s="335"/>
      <c r="J4" s="335"/>
      <c r="K4" s="380"/>
      <c r="L4" s="305"/>
      <c r="M4" s="305"/>
      <c r="N4" s="305"/>
      <c r="O4" s="305"/>
    </row>
    <row r="5" spans="1:15" ht="27" customHeight="1">
      <c r="A5" s="896" t="s">
        <v>530</v>
      </c>
      <c r="B5" s="897"/>
      <c r="C5" s="897"/>
      <c r="D5" s="897"/>
      <c r="E5" s="897"/>
      <c r="F5" s="897"/>
      <c r="G5" s="897"/>
      <c r="H5" s="897"/>
      <c r="I5" s="898" t="s">
        <v>652</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385" t="s">
        <v>4</v>
      </c>
      <c r="B8" s="890" t="s">
        <v>397</v>
      </c>
      <c r="C8" s="890"/>
      <c r="D8" s="890"/>
      <c r="E8" s="890"/>
      <c r="F8" s="890"/>
      <c r="G8" s="890"/>
      <c r="H8" s="890"/>
      <c r="I8" s="890"/>
      <c r="J8" s="890"/>
      <c r="K8" s="333">
        <f>K7/44*24</f>
        <v>692.72727272727275</v>
      </c>
      <c r="L8" s="326"/>
      <c r="M8" s="111"/>
    </row>
    <row r="9" spans="1:15">
      <c r="A9" s="385" t="s">
        <v>6</v>
      </c>
      <c r="B9" s="374" t="s">
        <v>433</v>
      </c>
      <c r="C9" s="375"/>
      <c r="D9" s="375"/>
      <c r="E9" s="375"/>
      <c r="F9" s="375"/>
      <c r="G9" s="375"/>
      <c r="H9" s="375"/>
      <c r="I9" s="375"/>
      <c r="J9" s="376">
        <v>0</v>
      </c>
      <c r="K9" s="333">
        <v>0</v>
      </c>
      <c r="L9" s="326"/>
      <c r="M9" s="111"/>
    </row>
    <row r="10" spans="1:15">
      <c r="A10" s="385"/>
      <c r="B10" s="866" t="s">
        <v>220</v>
      </c>
      <c r="C10" s="867"/>
      <c r="D10" s="867"/>
      <c r="E10" s="867"/>
      <c r="F10" s="867"/>
      <c r="G10" s="867"/>
      <c r="H10" s="867"/>
      <c r="I10" s="867"/>
      <c r="J10" s="891"/>
      <c r="K10" s="302">
        <f>SUM(K8:K9)</f>
        <v>692.72727272727275</v>
      </c>
      <c r="L10" s="113"/>
    </row>
    <row r="11" spans="1:15">
      <c r="A11" s="892" t="s">
        <v>208</v>
      </c>
      <c r="B11" s="892"/>
      <c r="C11" s="892"/>
      <c r="D11" s="892"/>
      <c r="E11" s="892"/>
      <c r="F11" s="892"/>
      <c r="G11" s="892"/>
      <c r="H11" s="892"/>
      <c r="I11" s="892"/>
      <c r="J11" s="892"/>
      <c r="K11" s="114">
        <f>SUM(K10:K10)</f>
        <v>692.72727272727275</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385" t="s">
        <v>4</v>
      </c>
      <c r="B14" s="857" t="s">
        <v>163</v>
      </c>
      <c r="C14" s="858"/>
      <c r="D14" s="858"/>
      <c r="E14" s="858"/>
      <c r="F14" s="858"/>
      <c r="G14" s="858"/>
      <c r="H14" s="858"/>
      <c r="I14" s="859"/>
      <c r="J14" s="118">
        <v>8.3299999999999999E-2</v>
      </c>
      <c r="K14" s="119">
        <f>ROUND($J14*K$11,2)</f>
        <v>57.7</v>
      </c>
    </row>
    <row r="15" spans="1:15">
      <c r="A15" s="385" t="s">
        <v>6</v>
      </c>
      <c r="B15" s="857" t="s">
        <v>164</v>
      </c>
      <c r="C15" s="858"/>
      <c r="D15" s="858"/>
      <c r="E15" s="858"/>
      <c r="F15" s="858"/>
      <c r="G15" s="858"/>
      <c r="H15" s="858"/>
      <c r="I15" s="859"/>
      <c r="J15" s="118">
        <f>J54*33.33%</f>
        <v>2.7774999999999998E-2</v>
      </c>
      <c r="K15" s="119">
        <f>ROUND($J15*K$11,2)</f>
        <v>19.239999999999998</v>
      </c>
      <c r="M15" s="109" t="s">
        <v>233</v>
      </c>
    </row>
    <row r="16" spans="1:15">
      <c r="A16" s="385" t="s">
        <v>10</v>
      </c>
      <c r="B16" s="381" t="s">
        <v>213</v>
      </c>
      <c r="C16" s="381"/>
      <c r="D16" s="381"/>
      <c r="E16" s="381"/>
      <c r="F16" s="381"/>
      <c r="G16" s="381"/>
      <c r="H16" s="381"/>
      <c r="I16" s="382"/>
      <c r="J16" s="118">
        <f>SUM(J14:J15)</f>
        <v>0.11107499999999999</v>
      </c>
      <c r="K16" s="112">
        <f>SUM(K14:K15)</f>
        <v>76.94</v>
      </c>
    </row>
    <row r="17" spans="1:15">
      <c r="A17" s="385" t="s">
        <v>12</v>
      </c>
      <c r="B17" s="328" t="s">
        <v>398</v>
      </c>
      <c r="C17" s="328"/>
      <c r="D17" s="328"/>
      <c r="E17" s="328"/>
      <c r="F17" s="328"/>
      <c r="G17" s="328"/>
      <c r="H17" s="328"/>
      <c r="I17" s="329"/>
      <c r="J17" s="330">
        <f>J16*J28</f>
        <v>3.2767125000000001E-2</v>
      </c>
      <c r="K17" s="331">
        <f>ROUND($J17*K$11,2)</f>
        <v>22.7</v>
      </c>
    </row>
    <row r="18" spans="1:15">
      <c r="A18" s="847" t="s">
        <v>165</v>
      </c>
      <c r="B18" s="848"/>
      <c r="C18" s="848"/>
      <c r="D18" s="848"/>
      <c r="E18" s="848"/>
      <c r="F18" s="848"/>
      <c r="G18" s="848"/>
      <c r="H18" s="848"/>
      <c r="I18" s="863"/>
      <c r="J18" s="125">
        <f>SUM(J16:J17)</f>
        <v>0.14384212499999999</v>
      </c>
      <c r="K18" s="126">
        <f>SUM(K16:K17)</f>
        <v>99.64</v>
      </c>
    </row>
    <row r="19" spans="1:15">
      <c r="A19" s="872" t="s">
        <v>167</v>
      </c>
      <c r="B19" s="873"/>
      <c r="C19" s="873"/>
      <c r="D19" s="873"/>
      <c r="E19" s="873"/>
      <c r="F19" s="873"/>
      <c r="G19" s="873"/>
      <c r="H19" s="873"/>
      <c r="I19" s="873"/>
      <c r="J19" s="117" t="s">
        <v>9</v>
      </c>
      <c r="K19" s="112" t="s">
        <v>166</v>
      </c>
    </row>
    <row r="20" spans="1:15">
      <c r="A20" s="385" t="s">
        <v>4</v>
      </c>
      <c r="B20" s="844" t="s">
        <v>17</v>
      </c>
      <c r="C20" s="844"/>
      <c r="D20" s="844"/>
      <c r="E20" s="844"/>
      <c r="F20" s="844"/>
      <c r="G20" s="844"/>
      <c r="H20" s="844"/>
      <c r="I20" s="844"/>
      <c r="J20" s="103">
        <v>0.2</v>
      </c>
      <c r="K20" s="119">
        <f>ROUND($J$20*K11,2)</f>
        <v>138.55000000000001</v>
      </c>
    </row>
    <row r="21" spans="1:15">
      <c r="A21" s="385" t="s">
        <v>6</v>
      </c>
      <c r="B21" s="844" t="s">
        <v>18</v>
      </c>
      <c r="C21" s="844"/>
      <c r="D21" s="844"/>
      <c r="E21" s="844"/>
      <c r="F21" s="844"/>
      <c r="G21" s="844"/>
      <c r="H21" s="844"/>
      <c r="I21" s="844"/>
      <c r="J21" s="103">
        <v>0</v>
      </c>
      <c r="K21" s="119">
        <f>ROUND($J$21*K11,2)</f>
        <v>0</v>
      </c>
    </row>
    <row r="22" spans="1:15">
      <c r="A22" s="385" t="s">
        <v>10</v>
      </c>
      <c r="B22" s="844" t="s">
        <v>19</v>
      </c>
      <c r="C22" s="844"/>
      <c r="D22" s="844"/>
      <c r="E22" s="844"/>
      <c r="F22" s="844"/>
      <c r="G22" s="844"/>
      <c r="H22" s="844"/>
      <c r="I22" s="844"/>
      <c r="J22" s="103">
        <v>0</v>
      </c>
      <c r="K22" s="119">
        <f t="shared" ref="K22:K27" si="0">ROUND(J22*$K$11,2)</f>
        <v>0</v>
      </c>
    </row>
    <row r="23" spans="1:15">
      <c r="A23" s="385" t="s">
        <v>12</v>
      </c>
      <c r="B23" s="844" t="s">
        <v>20</v>
      </c>
      <c r="C23" s="844"/>
      <c r="D23" s="844"/>
      <c r="E23" s="844"/>
      <c r="F23" s="844"/>
      <c r="G23" s="844"/>
      <c r="H23" s="844"/>
      <c r="I23" s="844"/>
      <c r="J23" s="103">
        <v>0</v>
      </c>
      <c r="K23" s="119">
        <f t="shared" si="0"/>
        <v>0</v>
      </c>
    </row>
    <row r="24" spans="1:15">
      <c r="A24" s="385" t="s">
        <v>14</v>
      </c>
      <c r="B24" s="844" t="s">
        <v>21</v>
      </c>
      <c r="C24" s="844"/>
      <c r="D24" s="844"/>
      <c r="E24" s="844"/>
      <c r="F24" s="844"/>
      <c r="G24" s="844"/>
      <c r="H24" s="844"/>
      <c r="I24" s="844"/>
      <c r="J24" s="103">
        <v>0</v>
      </c>
      <c r="K24" s="119">
        <f t="shared" si="0"/>
        <v>0</v>
      </c>
      <c r="L24" s="120"/>
    </row>
    <row r="25" spans="1:15">
      <c r="A25" s="385" t="s">
        <v>1</v>
      </c>
      <c r="B25" s="857" t="s">
        <v>153</v>
      </c>
      <c r="C25" s="859"/>
      <c r="D25" s="884">
        <v>0.08</v>
      </c>
      <c r="E25" s="885"/>
      <c r="F25" s="857"/>
      <c r="G25" s="858"/>
      <c r="H25" s="858"/>
      <c r="I25" s="859"/>
      <c r="J25" s="103">
        <v>0.08</v>
      </c>
      <c r="K25" s="119">
        <f t="shared" si="0"/>
        <v>55.42</v>
      </c>
      <c r="L25" s="121"/>
    </row>
    <row r="26" spans="1:15">
      <c r="A26" s="385" t="s">
        <v>15</v>
      </c>
      <c r="B26" s="844" t="s">
        <v>22</v>
      </c>
      <c r="C26" s="844"/>
      <c r="D26" s="844"/>
      <c r="E26" s="844"/>
      <c r="F26" s="378" t="s">
        <v>23</v>
      </c>
      <c r="G26" s="569">
        <v>0.03</v>
      </c>
      <c r="H26" s="378" t="s">
        <v>24</v>
      </c>
      <c r="I26" s="303">
        <v>0.5</v>
      </c>
      <c r="J26" s="104">
        <f>G26*I26</f>
        <v>1.4999999999999999E-2</v>
      </c>
      <c r="K26" s="119">
        <f t="shared" si="0"/>
        <v>10.39</v>
      </c>
    </row>
    <row r="27" spans="1:15">
      <c r="A27" s="385"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204.36</v>
      </c>
      <c r="L28" s="305"/>
      <c r="M28" s="305"/>
      <c r="N28" s="305"/>
      <c r="O28" s="305"/>
    </row>
    <row r="29" spans="1:15">
      <c r="A29" s="886" t="s">
        <v>170</v>
      </c>
      <c r="B29" s="887"/>
      <c r="C29" s="887"/>
      <c r="D29" s="887"/>
      <c r="E29" s="887"/>
      <c r="F29" s="887"/>
      <c r="G29" s="887"/>
      <c r="H29" s="887"/>
      <c r="I29" s="404" t="s">
        <v>463</v>
      </c>
      <c r="J29" s="401"/>
      <c r="K29" s="112" t="s">
        <v>166</v>
      </c>
    </row>
    <row r="30" spans="1:15">
      <c r="A30" s="385" t="s">
        <v>4</v>
      </c>
      <c r="B30" s="150" t="s">
        <v>436</v>
      </c>
      <c r="C30" s="151"/>
      <c r="D30" s="151"/>
      <c r="E30" s="151"/>
      <c r="F30" s="151"/>
      <c r="G30" s="151"/>
      <c r="H30" s="151"/>
      <c r="I30" s="405">
        <v>16</v>
      </c>
      <c r="J30" s="402">
        <v>18.818180999999999</v>
      </c>
      <c r="K30" s="123">
        <f>(J30*I30)*80%</f>
        <v>240.87271680000001</v>
      </c>
    </row>
    <row r="31" spans="1:15">
      <c r="A31" s="385" t="s">
        <v>434</v>
      </c>
      <c r="B31" s="150" t="s">
        <v>435</v>
      </c>
      <c r="C31" s="151"/>
      <c r="D31" s="151"/>
      <c r="E31" s="151"/>
      <c r="F31" s="151"/>
      <c r="G31" s="151"/>
      <c r="H31" s="151"/>
      <c r="I31" s="405">
        <v>1</v>
      </c>
      <c r="J31" s="402">
        <f>414/12</f>
        <v>34.5</v>
      </c>
      <c r="K31" s="123">
        <f>(J31*I31)*80%</f>
        <v>27.6</v>
      </c>
    </row>
    <row r="32" spans="1:15" ht="15.75" thickBot="1">
      <c r="A32" s="385" t="s">
        <v>6</v>
      </c>
      <c r="B32" s="876" t="s">
        <v>218</v>
      </c>
      <c r="C32" s="877"/>
      <c r="D32" s="877"/>
      <c r="E32" s="877"/>
      <c r="F32" s="877"/>
      <c r="G32" s="877"/>
      <c r="H32" s="152"/>
      <c r="I32" s="406">
        <v>32</v>
      </c>
      <c r="J32" s="403">
        <v>4.0999999999999996</v>
      </c>
      <c r="K32" s="123">
        <f>I32*2*J32</f>
        <v>262.39999999999998</v>
      </c>
    </row>
    <row r="33" spans="1:11">
      <c r="A33" s="385" t="s">
        <v>10</v>
      </c>
      <c r="B33" s="876" t="s">
        <v>219</v>
      </c>
      <c r="C33" s="877"/>
      <c r="D33" s="877"/>
      <c r="E33" s="877"/>
      <c r="F33" s="877"/>
      <c r="G33" s="877"/>
      <c r="H33" s="877"/>
      <c r="I33" s="883"/>
      <c r="J33" s="153">
        <v>-0.06</v>
      </c>
      <c r="K33" s="154">
        <f>K8*J33</f>
        <v>-41.563636363636363</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385" t="s">
        <v>15</v>
      </c>
      <c r="B37" s="876" t="s">
        <v>439</v>
      </c>
      <c r="C37" s="877"/>
      <c r="D37" s="877"/>
      <c r="E37" s="877"/>
      <c r="F37" s="877"/>
      <c r="G37" s="877"/>
      <c r="H37" s="877"/>
      <c r="I37" s="878"/>
      <c r="J37" s="378"/>
      <c r="K37" s="112">
        <v>0</v>
      </c>
    </row>
    <row r="38" spans="1:11" s="109" customFormat="1" ht="12.75">
      <c r="A38" s="385"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592.80908043636373</v>
      </c>
    </row>
    <row r="40" spans="1:11" s="109" customFormat="1" ht="12.75">
      <c r="A40" s="850" t="s">
        <v>173</v>
      </c>
      <c r="B40" s="850"/>
      <c r="C40" s="850"/>
      <c r="D40" s="850"/>
      <c r="E40" s="850"/>
      <c r="F40" s="850"/>
      <c r="G40" s="850"/>
      <c r="H40" s="850"/>
      <c r="I40" s="850"/>
      <c r="J40" s="850"/>
      <c r="K40" s="128" t="s">
        <v>166</v>
      </c>
    </row>
    <row r="41" spans="1:11" s="109" customFormat="1" ht="12.75">
      <c r="A41" s="385" t="s">
        <v>174</v>
      </c>
      <c r="B41" s="857" t="s">
        <v>177</v>
      </c>
      <c r="C41" s="858"/>
      <c r="D41" s="858"/>
      <c r="E41" s="858"/>
      <c r="F41" s="858"/>
      <c r="G41" s="858"/>
      <c r="H41" s="858"/>
      <c r="I41" s="859"/>
      <c r="J41" s="383"/>
      <c r="K41" s="112">
        <f>K18</f>
        <v>99.64</v>
      </c>
    </row>
    <row r="42" spans="1:11" s="109" customFormat="1" ht="12.75">
      <c r="A42" s="385" t="s">
        <v>175</v>
      </c>
      <c r="B42" s="857" t="s">
        <v>178</v>
      </c>
      <c r="C42" s="858"/>
      <c r="D42" s="858"/>
      <c r="E42" s="858"/>
      <c r="F42" s="858"/>
      <c r="G42" s="858"/>
      <c r="H42" s="858"/>
      <c r="I42" s="859"/>
      <c r="J42" s="383"/>
      <c r="K42" s="112">
        <f>K28</f>
        <v>204.36</v>
      </c>
    </row>
    <row r="43" spans="1:11" s="109" customFormat="1" ht="12.75">
      <c r="A43" s="385" t="s">
        <v>176</v>
      </c>
      <c r="B43" s="857" t="s">
        <v>180</v>
      </c>
      <c r="C43" s="858"/>
      <c r="D43" s="858"/>
      <c r="E43" s="858"/>
      <c r="F43" s="858"/>
      <c r="G43" s="858"/>
      <c r="H43" s="858"/>
      <c r="I43" s="859"/>
      <c r="J43" s="383"/>
      <c r="K43" s="112">
        <f>K39</f>
        <v>592.80908043636373</v>
      </c>
    </row>
    <row r="44" spans="1:11" s="109" customFormat="1" ht="12.75">
      <c r="A44" s="847" t="s">
        <v>179</v>
      </c>
      <c r="B44" s="848"/>
      <c r="C44" s="848"/>
      <c r="D44" s="848"/>
      <c r="E44" s="848"/>
      <c r="F44" s="848"/>
      <c r="G44" s="848"/>
      <c r="H44" s="848"/>
      <c r="I44" s="863"/>
      <c r="J44" s="125"/>
      <c r="K44" s="126">
        <f>SUM(K41:K43)</f>
        <v>896.80908043636373</v>
      </c>
    </row>
    <row r="45" spans="1:11" s="109" customFormat="1" ht="12.75">
      <c r="A45" s="850" t="s">
        <v>171</v>
      </c>
      <c r="B45" s="850"/>
      <c r="C45" s="850"/>
      <c r="D45" s="850"/>
      <c r="E45" s="850"/>
      <c r="F45" s="850"/>
      <c r="G45" s="850"/>
      <c r="H45" s="850"/>
      <c r="I45" s="850"/>
      <c r="J45" s="127" t="s">
        <v>9</v>
      </c>
      <c r="K45" s="128" t="s">
        <v>166</v>
      </c>
    </row>
    <row r="46" spans="1:11" s="109" customFormat="1" ht="12.75">
      <c r="A46" s="385" t="s">
        <v>4</v>
      </c>
      <c r="B46" s="844" t="s">
        <v>26</v>
      </c>
      <c r="C46" s="844"/>
      <c r="D46" s="844"/>
      <c r="E46" s="844"/>
      <c r="F46" s="844"/>
      <c r="G46" s="844"/>
      <c r="H46" s="129">
        <v>30</v>
      </c>
      <c r="I46" s="130">
        <v>0.05</v>
      </c>
      <c r="J46" s="118">
        <f>H46/30/12*I46</f>
        <v>4.1666666666666666E-3</v>
      </c>
      <c r="K46" s="112">
        <f>ROUND(J46*$K$11,2)</f>
        <v>2.89</v>
      </c>
    </row>
    <row r="47" spans="1:11" s="109" customFormat="1" ht="12.75">
      <c r="A47" s="385" t="s">
        <v>6</v>
      </c>
      <c r="B47" s="844" t="s">
        <v>27</v>
      </c>
      <c r="C47" s="844"/>
      <c r="D47" s="844"/>
      <c r="E47" s="844"/>
      <c r="F47" s="844"/>
      <c r="G47" s="844"/>
      <c r="H47" s="844"/>
      <c r="I47" s="844"/>
      <c r="J47" s="118">
        <f>J25*J46</f>
        <v>3.3333333333333332E-4</v>
      </c>
      <c r="K47" s="112">
        <f>ROUND(J47*$K$11,2)</f>
        <v>0.23</v>
      </c>
    </row>
    <row r="48" spans="1:11" s="109" customFormat="1" ht="12.75">
      <c r="A48" s="385" t="s">
        <v>10</v>
      </c>
      <c r="B48" s="844" t="s">
        <v>184</v>
      </c>
      <c r="C48" s="844"/>
      <c r="D48" s="844"/>
      <c r="E48" s="844"/>
      <c r="F48" s="844"/>
      <c r="G48" s="844"/>
      <c r="H48" s="844"/>
      <c r="I48" s="844"/>
      <c r="J48" s="118">
        <f>(1/30)/12*7</f>
        <v>1.9444444444444445E-2</v>
      </c>
      <c r="K48" s="112">
        <f>ROUND(J48*$K$11,2)</f>
        <v>13.47</v>
      </c>
    </row>
    <row r="49" spans="1:15" s="109" customFormat="1" ht="12.75">
      <c r="A49" s="385" t="s">
        <v>12</v>
      </c>
      <c r="B49" s="844" t="s">
        <v>183</v>
      </c>
      <c r="C49" s="844"/>
      <c r="D49" s="844"/>
      <c r="E49" s="844"/>
      <c r="F49" s="844"/>
      <c r="G49" s="844"/>
      <c r="H49" s="844"/>
      <c r="I49" s="844"/>
      <c r="J49" s="118">
        <f>J28*J48</f>
        <v>5.736111111111112E-3</v>
      </c>
      <c r="K49" s="112">
        <f>ROUND(J49*$K$11,2)</f>
        <v>3.97</v>
      </c>
    </row>
    <row r="50" spans="1:15" s="109" customFormat="1" ht="12.75">
      <c r="A50" s="324" t="s">
        <v>14</v>
      </c>
      <c r="B50" s="381" t="s">
        <v>399</v>
      </c>
      <c r="C50" s="381"/>
      <c r="D50" s="381"/>
      <c r="E50" s="381"/>
      <c r="F50" s="381"/>
      <c r="G50" s="381"/>
      <c r="H50" s="381"/>
      <c r="I50" s="382"/>
      <c r="J50" s="118">
        <f>0.5*J25</f>
        <v>0.04</v>
      </c>
      <c r="K50" s="112">
        <f>ROUND(J50*$K$11,2)</f>
        <v>27.71</v>
      </c>
    </row>
    <row r="51" spans="1:15" s="109" customFormat="1" ht="12.75">
      <c r="A51" s="847" t="s">
        <v>181</v>
      </c>
      <c r="B51" s="848"/>
      <c r="C51" s="848"/>
      <c r="D51" s="848"/>
      <c r="E51" s="848"/>
      <c r="F51" s="848"/>
      <c r="G51" s="848"/>
      <c r="H51" s="848"/>
      <c r="I51" s="863"/>
      <c r="J51" s="125">
        <f>SUM(J46:J50)</f>
        <v>6.9680555555555551E-2</v>
      </c>
      <c r="K51" s="126">
        <f>SUM(K46:K50)</f>
        <v>48.269999999999996</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385" t="s">
        <v>4</v>
      </c>
      <c r="B54" s="829" t="s">
        <v>187</v>
      </c>
      <c r="C54" s="829"/>
      <c r="D54" s="829"/>
      <c r="E54" s="829"/>
      <c r="F54" s="829"/>
      <c r="G54" s="829"/>
      <c r="H54" s="829"/>
      <c r="I54" s="829"/>
      <c r="J54" s="104">
        <f>1/12</f>
        <v>8.3333333333333329E-2</v>
      </c>
      <c r="K54" s="112">
        <f>ROUND(J54*$K$11,2)</f>
        <v>57.73</v>
      </c>
    </row>
    <row r="55" spans="1:15">
      <c r="A55" s="385" t="s">
        <v>6</v>
      </c>
      <c r="B55" s="844" t="s">
        <v>188</v>
      </c>
      <c r="C55" s="844"/>
      <c r="D55" s="844"/>
      <c r="E55" s="844"/>
      <c r="F55" s="874" t="s">
        <v>29</v>
      </c>
      <c r="G55" s="874"/>
      <c r="H55" s="874"/>
      <c r="I55" s="131">
        <v>6</v>
      </c>
      <c r="J55" s="104">
        <f>I55/30/12</f>
        <v>1.6666666666666666E-2</v>
      </c>
      <c r="K55" s="112">
        <f>ROUND(J55*$K$11,2)</f>
        <v>11.55</v>
      </c>
    </row>
    <row r="56" spans="1:15">
      <c r="A56" s="385" t="s">
        <v>10</v>
      </c>
      <c r="B56" s="844" t="s">
        <v>30</v>
      </c>
      <c r="C56" s="844"/>
      <c r="D56" s="844"/>
      <c r="E56" s="844"/>
      <c r="F56" s="874" t="s">
        <v>28</v>
      </c>
      <c r="G56" s="874"/>
      <c r="H56" s="132">
        <v>1.4999999999999999E-2</v>
      </c>
      <c r="I56" s="133">
        <v>5</v>
      </c>
      <c r="J56" s="104">
        <f>I56/30/12*H56</f>
        <v>2.0833333333333332E-4</v>
      </c>
      <c r="K56" s="112">
        <f>ROUND(J56*$K$11,2)</f>
        <v>0.14000000000000001</v>
      </c>
    </row>
    <row r="57" spans="1:15">
      <c r="A57" s="385" t="s">
        <v>12</v>
      </c>
      <c r="B57" s="844" t="s">
        <v>189</v>
      </c>
      <c r="C57" s="844"/>
      <c r="D57" s="844"/>
      <c r="E57" s="131"/>
      <c r="F57" s="874" t="s">
        <v>28</v>
      </c>
      <c r="G57" s="874"/>
      <c r="H57" s="132">
        <v>8.0000000000000002E-3</v>
      </c>
      <c r="I57" s="134">
        <v>20</v>
      </c>
      <c r="J57" s="104">
        <f>I57/30/12*H57</f>
        <v>4.4444444444444441E-4</v>
      </c>
      <c r="K57" s="112">
        <f>ROUND(J57*$K$11,2)</f>
        <v>0.31</v>
      </c>
    </row>
    <row r="58" spans="1:15">
      <c r="A58" s="385" t="s">
        <v>14</v>
      </c>
      <c r="B58" s="844" t="s">
        <v>190</v>
      </c>
      <c r="C58" s="844"/>
      <c r="D58" s="844"/>
      <c r="E58" s="131"/>
      <c r="F58" s="875"/>
      <c r="G58" s="874"/>
      <c r="H58" s="132">
        <v>0.1</v>
      </c>
      <c r="I58" s="134">
        <v>10</v>
      </c>
      <c r="J58" s="104">
        <f>I58/30/12*H58</f>
        <v>2.7777777777777779E-3</v>
      </c>
      <c r="K58" s="112">
        <f>ROUND(J58*$K$11,2)</f>
        <v>1.92</v>
      </c>
      <c r="L58" s="111"/>
    </row>
    <row r="59" spans="1:15">
      <c r="A59" s="385"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71.650000000000006</v>
      </c>
    </row>
    <row r="61" spans="1:15">
      <c r="A61" s="385" t="s">
        <v>12</v>
      </c>
      <c r="B61" s="328" t="s">
        <v>215</v>
      </c>
      <c r="C61" s="328"/>
      <c r="D61" s="328"/>
      <c r="E61" s="328"/>
      <c r="F61" s="328"/>
      <c r="G61" s="328"/>
      <c r="H61" s="328"/>
      <c r="I61" s="329"/>
      <c r="J61" s="332">
        <f>J60*J28</f>
        <v>3.0512013888888894E-2</v>
      </c>
      <c r="K61" s="327">
        <f>ROUND(J61*$K$11,2)</f>
        <v>21.14</v>
      </c>
    </row>
    <row r="62" spans="1:15">
      <c r="A62" s="847" t="s">
        <v>192</v>
      </c>
      <c r="B62" s="848"/>
      <c r="C62" s="848"/>
      <c r="D62" s="848"/>
      <c r="E62" s="848"/>
      <c r="F62" s="848"/>
      <c r="G62" s="848"/>
      <c r="H62" s="848"/>
      <c r="I62" s="863"/>
      <c r="J62" s="148">
        <f>SUM(J60:J61)</f>
        <v>0.13394256944444444</v>
      </c>
      <c r="K62" s="126">
        <f>SUM(K60:K61)</f>
        <v>92.79</v>
      </c>
      <c r="L62" s="149"/>
      <c r="M62" s="149"/>
      <c r="N62" s="149"/>
      <c r="O62" s="149"/>
    </row>
    <row r="63" spans="1:15">
      <c r="A63" s="872" t="s">
        <v>193</v>
      </c>
      <c r="B63" s="873"/>
      <c r="C63" s="873"/>
      <c r="D63" s="873"/>
      <c r="E63" s="873"/>
      <c r="F63" s="873"/>
      <c r="G63" s="873"/>
      <c r="H63" s="873"/>
      <c r="I63" s="873"/>
      <c r="J63" s="117" t="s">
        <v>9</v>
      </c>
      <c r="K63" s="112" t="s">
        <v>166</v>
      </c>
    </row>
    <row r="64" spans="1:15">
      <c r="A64" s="385"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385" t="s">
        <v>197</v>
      </c>
      <c r="B67" s="857" t="s">
        <v>188</v>
      </c>
      <c r="C67" s="858"/>
      <c r="D67" s="858"/>
      <c r="E67" s="858"/>
      <c r="F67" s="858"/>
      <c r="G67" s="858"/>
      <c r="H67" s="858"/>
      <c r="I67" s="859"/>
      <c r="J67" s="383"/>
      <c r="K67" s="112">
        <f>K62</f>
        <v>92.79</v>
      </c>
    </row>
    <row r="68" spans="1:13">
      <c r="A68" s="385" t="s">
        <v>198</v>
      </c>
      <c r="B68" s="857" t="s">
        <v>199</v>
      </c>
      <c r="C68" s="858"/>
      <c r="D68" s="858"/>
      <c r="E68" s="858"/>
      <c r="F68" s="858"/>
      <c r="G68" s="858"/>
      <c r="H68" s="858"/>
      <c r="I68" s="859"/>
      <c r="J68" s="383"/>
      <c r="K68" s="112">
        <f>K65</f>
        <v>0</v>
      </c>
    </row>
    <row r="69" spans="1:13">
      <c r="A69" s="847" t="s">
        <v>200</v>
      </c>
      <c r="B69" s="848"/>
      <c r="C69" s="848"/>
      <c r="D69" s="848"/>
      <c r="E69" s="848"/>
      <c r="F69" s="848"/>
      <c r="G69" s="848"/>
      <c r="H69" s="848"/>
      <c r="I69" s="863"/>
      <c r="J69" s="125"/>
      <c r="K69" s="126">
        <f>SUM(K67:K68)</f>
        <v>92.79</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385" t="s">
        <v>4</v>
      </c>
      <c r="B72" s="862" t="s">
        <v>425</v>
      </c>
      <c r="C72" s="862"/>
      <c r="D72" s="862"/>
      <c r="E72" s="862"/>
      <c r="F72" s="862"/>
      <c r="G72" s="862"/>
      <c r="H72" s="862"/>
      <c r="I72" s="862"/>
      <c r="J72" s="862"/>
      <c r="K72" s="112">
        <f>'UNIFORME SERVENTES'!F16</f>
        <v>52.833333333333336</v>
      </c>
    </row>
    <row r="73" spans="1:13" s="109" customFormat="1" ht="15" customHeight="1">
      <c r="A73" s="385" t="s">
        <v>6</v>
      </c>
      <c r="B73" s="866" t="s">
        <v>212</v>
      </c>
      <c r="C73" s="867"/>
      <c r="D73" s="867"/>
      <c r="E73" s="867"/>
      <c r="F73" s="867"/>
      <c r="G73" s="867"/>
      <c r="H73" s="867"/>
      <c r="I73" s="845">
        <v>0</v>
      </c>
      <c r="J73" s="846"/>
      <c r="K73" s="124">
        <f>MATERIAIS!H224</f>
        <v>460.41666666666669</v>
      </c>
      <c r="L73" s="137"/>
      <c r="M73" s="111"/>
    </row>
    <row r="74" spans="1:13" s="109" customFormat="1" ht="12.75">
      <c r="A74" s="385" t="s">
        <v>10</v>
      </c>
      <c r="B74" s="573" t="s">
        <v>394</v>
      </c>
      <c r="C74" s="574"/>
      <c r="D74" s="574"/>
      <c r="E74" s="574"/>
      <c r="F74" s="574"/>
      <c r="G74" s="574"/>
      <c r="H74" s="574"/>
      <c r="I74" s="845">
        <v>0</v>
      </c>
      <c r="J74" s="846"/>
      <c r="K74" s="124">
        <f>EQUIPAMENTOS!H51</f>
        <v>192.5</v>
      </c>
      <c r="L74" s="137"/>
      <c r="M74" s="111"/>
    </row>
    <row r="75" spans="1:13" s="109" customFormat="1" ht="12.75">
      <c r="A75" s="847" t="s">
        <v>207</v>
      </c>
      <c r="B75" s="848"/>
      <c r="C75" s="848"/>
      <c r="D75" s="848"/>
      <c r="E75" s="848"/>
      <c r="F75" s="848"/>
      <c r="G75" s="848"/>
      <c r="H75" s="848"/>
      <c r="I75" s="849"/>
      <c r="J75" s="576"/>
      <c r="K75" s="126">
        <f>SUM(K72:K74)</f>
        <v>705.75</v>
      </c>
    </row>
    <row r="76" spans="1:13" s="109" customFormat="1" ht="12.75">
      <c r="A76" s="850" t="s">
        <v>205</v>
      </c>
      <c r="B76" s="850"/>
      <c r="C76" s="850"/>
      <c r="D76" s="850"/>
      <c r="E76" s="850"/>
      <c r="F76" s="850"/>
      <c r="G76" s="850"/>
      <c r="H76" s="850"/>
      <c r="I76" s="851"/>
      <c r="J76" s="577"/>
      <c r="K76" s="128">
        <f>K5</f>
        <v>0</v>
      </c>
    </row>
    <row r="77" spans="1:13" s="109" customFormat="1" ht="12.75">
      <c r="A77" s="385" t="s">
        <v>4</v>
      </c>
      <c r="B77" s="829" t="s">
        <v>206</v>
      </c>
      <c r="C77" s="829"/>
      <c r="D77" s="829"/>
      <c r="E77" s="829"/>
      <c r="F77" s="829"/>
      <c r="G77" s="829"/>
      <c r="H77" s="829"/>
      <c r="I77" s="829"/>
      <c r="J77" s="138">
        <v>0.2</v>
      </c>
      <c r="K77" s="119">
        <f>J77*K95</f>
        <v>487.26927063272728</v>
      </c>
      <c r="L77" s="139"/>
    </row>
    <row r="78" spans="1:13" s="109" customFormat="1" ht="12.75">
      <c r="A78" s="385" t="s">
        <v>6</v>
      </c>
      <c r="B78" s="829" t="s">
        <v>32</v>
      </c>
      <c r="C78" s="829"/>
      <c r="D78" s="829"/>
      <c r="E78" s="829"/>
      <c r="F78" s="829"/>
      <c r="G78" s="829"/>
      <c r="H78" s="829"/>
      <c r="I78" s="829"/>
      <c r="J78" s="138">
        <v>0.15</v>
      </c>
      <c r="K78" s="119">
        <f>J78*(K95+K77)</f>
        <v>438.54234356945449</v>
      </c>
      <c r="L78" s="139"/>
    </row>
    <row r="79" spans="1:13" s="109" customFormat="1" ht="12.75">
      <c r="A79" s="836" t="s">
        <v>10</v>
      </c>
      <c r="B79" s="852" t="s">
        <v>33</v>
      </c>
      <c r="C79" s="853"/>
      <c r="D79" s="853"/>
      <c r="E79" s="853"/>
      <c r="F79" s="853"/>
      <c r="G79" s="853"/>
      <c r="H79" s="854"/>
      <c r="I79" s="855">
        <f>K95+K77+K78</f>
        <v>3362.157967365818</v>
      </c>
      <c r="J79" s="856"/>
      <c r="K79" s="140"/>
    </row>
    <row r="80" spans="1:13" s="109" customFormat="1" ht="12.75">
      <c r="A80" s="836"/>
      <c r="B80" s="857" t="s">
        <v>34</v>
      </c>
      <c r="C80" s="858"/>
      <c r="D80" s="858"/>
      <c r="E80" s="859"/>
      <c r="F80" s="384"/>
      <c r="G80" s="384" t="s">
        <v>35</v>
      </c>
      <c r="H80" s="384" t="s">
        <v>653</v>
      </c>
      <c r="I80" s="860"/>
      <c r="J80" s="861"/>
      <c r="K80" s="140"/>
    </row>
    <row r="81" spans="1:11" s="109" customFormat="1" ht="12.75">
      <c r="A81" s="836"/>
      <c r="B81" s="844" t="s">
        <v>36</v>
      </c>
      <c r="C81" s="844"/>
      <c r="D81" s="844"/>
      <c r="E81" s="844"/>
      <c r="F81" s="384" t="s">
        <v>37</v>
      </c>
      <c r="G81" s="575">
        <v>1.72E-3</v>
      </c>
      <c r="H81" s="838">
        <f>SUM(G81:G86)</f>
        <v>2.9699999999999997E-2</v>
      </c>
      <c r="I81" s="839">
        <f t="shared" ref="I81:I86" si="1">ROUND($K$97*G81,2)</f>
        <v>5.96</v>
      </c>
      <c r="J81" s="840"/>
      <c r="K81" s="841">
        <f>SUM(I81:J86)</f>
        <v>102.91999999999999</v>
      </c>
    </row>
    <row r="82" spans="1:11" s="109" customFormat="1" ht="12.75">
      <c r="A82" s="836"/>
      <c r="B82" s="844"/>
      <c r="C82" s="844"/>
      <c r="D82" s="844"/>
      <c r="E82" s="844"/>
      <c r="F82" s="384" t="s">
        <v>38</v>
      </c>
      <c r="G82" s="575">
        <v>7.9500000000000005E-3</v>
      </c>
      <c r="H82" s="838"/>
      <c r="I82" s="839">
        <f t="shared" si="1"/>
        <v>27.55</v>
      </c>
      <c r="J82" s="840"/>
      <c r="K82" s="842"/>
    </row>
    <row r="83" spans="1:11" s="109" customFormat="1" ht="12.75">
      <c r="A83" s="836"/>
      <c r="B83" s="844"/>
      <c r="C83" s="844"/>
      <c r="D83" s="844"/>
      <c r="E83" s="844"/>
      <c r="F83" s="384"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69.41</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1028.7316142021818</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385" t="s">
        <v>4</v>
      </c>
      <c r="B90" s="829" t="str">
        <f>A7</f>
        <v xml:space="preserve">MÓDULO 01 – Composição da Remuneração </v>
      </c>
      <c r="C90" s="829"/>
      <c r="D90" s="829"/>
      <c r="E90" s="829"/>
      <c r="F90" s="829"/>
      <c r="G90" s="829"/>
      <c r="H90" s="829"/>
      <c r="I90" s="829"/>
      <c r="J90" s="829"/>
      <c r="K90" s="142">
        <f>K11</f>
        <v>692.72727272727275</v>
      </c>
    </row>
    <row r="91" spans="1:11" s="109" customFormat="1" ht="12.75">
      <c r="A91" s="385" t="s">
        <v>6</v>
      </c>
      <c r="B91" s="829" t="str">
        <f>A12</f>
        <v>MÓDULO 2 – ENCARGOS E BENEFÍCIOS ANUAIS, MENSAIS E DIÁRIOS</v>
      </c>
      <c r="C91" s="829"/>
      <c r="D91" s="829"/>
      <c r="E91" s="829"/>
      <c r="F91" s="829"/>
      <c r="G91" s="829"/>
      <c r="H91" s="829"/>
      <c r="I91" s="829"/>
      <c r="J91" s="829"/>
      <c r="K91" s="142">
        <f>K44</f>
        <v>896.80908043636373</v>
      </c>
    </row>
    <row r="92" spans="1:11" s="109" customFormat="1" ht="12.75">
      <c r="A92" s="385" t="s">
        <v>10</v>
      </c>
      <c r="B92" s="829" t="str">
        <f>A45</f>
        <v>MÓDULO 3 – PROVISÃO PARA RESCISÃO</v>
      </c>
      <c r="C92" s="829"/>
      <c r="D92" s="829"/>
      <c r="E92" s="829"/>
      <c r="F92" s="829"/>
      <c r="G92" s="829"/>
      <c r="H92" s="829"/>
      <c r="I92" s="829"/>
      <c r="J92" s="829"/>
      <c r="K92" s="142">
        <f>K51</f>
        <v>48.269999999999996</v>
      </c>
    </row>
    <row r="93" spans="1:11" s="109" customFormat="1" ht="12.75">
      <c r="A93" s="385" t="s">
        <v>12</v>
      </c>
      <c r="B93" s="829" t="str">
        <f>A52</f>
        <v>MÓDULO 4 – CUSTO DE REPOSIÇÃO DO PROFISSIONAL AUSENTE</v>
      </c>
      <c r="C93" s="829"/>
      <c r="D93" s="829"/>
      <c r="E93" s="829"/>
      <c r="F93" s="829"/>
      <c r="G93" s="829"/>
      <c r="H93" s="829"/>
      <c r="I93" s="829"/>
      <c r="J93" s="829"/>
      <c r="K93" s="142">
        <f>K62</f>
        <v>92.79</v>
      </c>
    </row>
    <row r="94" spans="1:11" s="109" customFormat="1" ht="12.75">
      <c r="A94" s="385" t="s">
        <v>14</v>
      </c>
      <c r="B94" s="829" t="str">
        <f>A71</f>
        <v>MÓDULO 5 – INSUMOS DIVERSOS</v>
      </c>
      <c r="C94" s="829"/>
      <c r="D94" s="829"/>
      <c r="E94" s="829"/>
      <c r="F94" s="829"/>
      <c r="G94" s="829"/>
      <c r="H94" s="829"/>
      <c r="I94" s="829"/>
      <c r="J94" s="829"/>
      <c r="K94" s="142">
        <f>K75</f>
        <v>705.75</v>
      </c>
    </row>
    <row r="95" spans="1:11" s="109" customFormat="1" ht="12.75">
      <c r="A95" s="830" t="s">
        <v>209</v>
      </c>
      <c r="B95" s="830"/>
      <c r="C95" s="830"/>
      <c r="D95" s="830"/>
      <c r="E95" s="830"/>
      <c r="F95" s="830"/>
      <c r="G95" s="830"/>
      <c r="H95" s="830"/>
      <c r="I95" s="830"/>
      <c r="J95" s="830"/>
      <c r="K95" s="107">
        <f>SUM(K90:K94)</f>
        <v>2436.3463531636362</v>
      </c>
    </row>
    <row r="96" spans="1:11" s="109" customFormat="1" ht="12.75">
      <c r="A96" s="385" t="s">
        <v>14</v>
      </c>
      <c r="B96" s="829" t="s">
        <v>46</v>
      </c>
      <c r="C96" s="829"/>
      <c r="D96" s="829"/>
      <c r="E96" s="829"/>
      <c r="F96" s="829"/>
      <c r="G96" s="829"/>
      <c r="H96" s="829"/>
      <c r="I96" s="829"/>
      <c r="J96" s="829"/>
      <c r="K96" s="108">
        <f>K97-K95</f>
        <v>1028.723646836364</v>
      </c>
    </row>
    <row r="97" spans="1:15" s="109" customFormat="1" ht="12.75">
      <c r="A97" s="831" t="s">
        <v>47</v>
      </c>
      <c r="B97" s="831"/>
      <c r="C97" s="831"/>
      <c r="D97" s="831"/>
      <c r="E97" s="831"/>
      <c r="F97" s="831"/>
      <c r="G97" s="831"/>
      <c r="H97" s="831"/>
      <c r="I97" s="831"/>
      <c r="J97" s="831"/>
      <c r="K97" s="143">
        <f>ROUND(I79/(1-$H$81),2)</f>
        <v>3465.07</v>
      </c>
    </row>
    <row r="98" spans="1:15" s="109" customFormat="1" ht="12.75">
      <c r="A98" s="832" t="s">
        <v>214</v>
      </c>
      <c r="B98" s="821"/>
      <c r="C98" s="821"/>
      <c r="D98" s="821"/>
      <c r="E98" s="821"/>
      <c r="F98" s="821"/>
      <c r="G98" s="821"/>
      <c r="H98" s="821"/>
      <c r="I98" s="155"/>
      <c r="J98" s="386">
        <v>1</v>
      </c>
      <c r="K98" s="156">
        <f>K97</f>
        <v>3465.07</v>
      </c>
    </row>
    <row r="99" spans="1:15" s="109" customFormat="1" ht="13.5" thickBot="1">
      <c r="A99" s="816" t="s">
        <v>217</v>
      </c>
      <c r="B99" s="816"/>
      <c r="C99" s="816"/>
      <c r="D99" s="816"/>
      <c r="E99" s="816"/>
      <c r="F99" s="816"/>
      <c r="G99" s="816"/>
      <c r="H99" s="816"/>
      <c r="I99" s="816"/>
      <c r="J99" s="816"/>
      <c r="K99" s="157">
        <f>K98*12</f>
        <v>41580.840000000004</v>
      </c>
    </row>
    <row r="100" spans="1:15" s="109" customFormat="1" ht="13.5" thickBot="1">
      <c r="A100" s="833" t="s">
        <v>529</v>
      </c>
      <c r="B100" s="834"/>
      <c r="C100" s="834"/>
      <c r="D100" s="834"/>
      <c r="E100" s="834"/>
      <c r="F100" s="834"/>
      <c r="G100" s="834"/>
      <c r="H100" s="834"/>
      <c r="I100" s="834"/>
      <c r="J100" s="835"/>
      <c r="K100" s="514">
        <f>(K99/12)</f>
        <v>3465.07</v>
      </c>
    </row>
    <row r="101" spans="1:15" s="109" customFormat="1" ht="15" customHeight="1">
      <c r="G101" s="158"/>
      <c r="H101" s="817" t="s">
        <v>48</v>
      </c>
      <c r="I101" s="818"/>
      <c r="J101" s="818"/>
      <c r="K101" s="819"/>
    </row>
    <row r="102" spans="1:15" s="109" customFormat="1" ht="12.75">
      <c r="G102" s="159"/>
      <c r="H102" s="820" t="s">
        <v>49</v>
      </c>
      <c r="I102" s="821"/>
      <c r="J102" s="822"/>
      <c r="K102" s="160" t="s">
        <v>9</v>
      </c>
    </row>
    <row r="103" spans="1:15" ht="15" customHeight="1">
      <c r="G103" s="161"/>
      <c r="H103" s="162" t="s">
        <v>50</v>
      </c>
      <c r="I103" s="144"/>
      <c r="J103" s="145"/>
      <c r="K103" s="163">
        <f>J77</f>
        <v>0.2</v>
      </c>
      <c r="M103" s="304"/>
      <c r="N103" s="304"/>
      <c r="O103" s="304"/>
    </row>
    <row r="104" spans="1:15" ht="15" customHeight="1">
      <c r="G104" s="161"/>
      <c r="H104" s="823" t="s">
        <v>32</v>
      </c>
      <c r="I104" s="824"/>
      <c r="J104" s="825"/>
      <c r="K104" s="163">
        <f>J78</f>
        <v>0.15</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0.42224054416159928</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5">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B32:G32"/>
    <mergeCell ref="B33:I33"/>
    <mergeCell ref="B22:I22"/>
    <mergeCell ref="B23:I23"/>
    <mergeCell ref="B24:I24"/>
    <mergeCell ref="B25:C25"/>
    <mergeCell ref="D25:E25"/>
    <mergeCell ref="F25:I25"/>
    <mergeCell ref="A29:H29"/>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66:J66"/>
    <mergeCell ref="B67:I67"/>
    <mergeCell ref="B68:I68"/>
    <mergeCell ref="A69:I69"/>
    <mergeCell ref="A70:K70"/>
    <mergeCell ref="A71:I71"/>
    <mergeCell ref="B73:H73"/>
    <mergeCell ref="I73:J73"/>
    <mergeCell ref="I74:J74"/>
    <mergeCell ref="A75:I75"/>
    <mergeCell ref="A76:I76"/>
    <mergeCell ref="B77:I77"/>
    <mergeCell ref="B78:I78"/>
    <mergeCell ref="A79:A86"/>
    <mergeCell ref="B79:H79"/>
    <mergeCell ref="I79:J79"/>
    <mergeCell ref="B80:E80"/>
    <mergeCell ref="I80:J80"/>
    <mergeCell ref="B81:E83"/>
    <mergeCell ref="A87:J87"/>
    <mergeCell ref="A88:K88"/>
    <mergeCell ref="A89:J89"/>
    <mergeCell ref="B90:J90"/>
    <mergeCell ref="B91:J91"/>
    <mergeCell ref="B92:J92"/>
    <mergeCell ref="H81:H86"/>
    <mergeCell ref="I81:J81"/>
    <mergeCell ref="K81:K86"/>
    <mergeCell ref="I82:J82"/>
    <mergeCell ref="I83:J83"/>
    <mergeCell ref="B84:E85"/>
    <mergeCell ref="I84:J84"/>
    <mergeCell ref="I85:J85"/>
    <mergeCell ref="B86:E86"/>
    <mergeCell ref="I86:J86"/>
    <mergeCell ref="A99:J99"/>
    <mergeCell ref="H101:K101"/>
    <mergeCell ref="H102:J102"/>
    <mergeCell ref="H104:J104"/>
    <mergeCell ref="H106:J106"/>
    <mergeCell ref="B93:J93"/>
    <mergeCell ref="B94:J94"/>
    <mergeCell ref="A95:J95"/>
    <mergeCell ref="B96:J96"/>
    <mergeCell ref="A97:J97"/>
    <mergeCell ref="A98:H98"/>
    <mergeCell ref="A100:J100"/>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CCFF"/>
    <pageSetUpPr fitToPage="1"/>
  </sheetPr>
  <dimension ref="A1:O116"/>
  <sheetViews>
    <sheetView view="pageBreakPreview" zoomScaleNormal="100" zoomScaleSheetLayoutView="100" workbookViewId="0">
      <selection activeCell="K75" sqref="K75"/>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531</v>
      </c>
      <c r="B5" s="897"/>
      <c r="C5" s="897"/>
      <c r="D5" s="897"/>
      <c r="E5" s="897"/>
      <c r="F5" s="897"/>
      <c r="G5" s="897"/>
      <c r="H5" s="897"/>
      <c r="I5" s="898" t="s">
        <v>654</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409" t="s">
        <v>4</v>
      </c>
      <c r="B8" s="890" t="s">
        <v>397</v>
      </c>
      <c r="C8" s="890"/>
      <c r="D8" s="890"/>
      <c r="E8" s="890"/>
      <c r="F8" s="890"/>
      <c r="G8" s="890"/>
      <c r="H8" s="890"/>
      <c r="I8" s="890"/>
      <c r="J8" s="890"/>
      <c r="K8" s="333">
        <f>K7/44*24</f>
        <v>692.72727272727275</v>
      </c>
      <c r="L8" s="326"/>
      <c r="M8" s="111"/>
    </row>
    <row r="9" spans="1:15">
      <c r="A9" s="409" t="s">
        <v>6</v>
      </c>
      <c r="B9" s="374" t="s">
        <v>433</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692.72727272727275</v>
      </c>
      <c r="L10" s="113"/>
    </row>
    <row r="11" spans="1:15">
      <c r="A11" s="892" t="s">
        <v>208</v>
      </c>
      <c r="B11" s="892"/>
      <c r="C11" s="892"/>
      <c r="D11" s="892"/>
      <c r="E11" s="892"/>
      <c r="F11" s="892"/>
      <c r="G11" s="892"/>
      <c r="H11" s="892"/>
      <c r="I11" s="892"/>
      <c r="J11" s="892"/>
      <c r="K11" s="114">
        <f>SUM(K10:K10)</f>
        <v>692.72727272727275</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57.7</v>
      </c>
    </row>
    <row r="15" spans="1:15">
      <c r="A15" s="409" t="s">
        <v>6</v>
      </c>
      <c r="B15" s="857" t="s">
        <v>164</v>
      </c>
      <c r="C15" s="858"/>
      <c r="D15" s="858"/>
      <c r="E15" s="858"/>
      <c r="F15" s="858"/>
      <c r="G15" s="858"/>
      <c r="H15" s="858"/>
      <c r="I15" s="859"/>
      <c r="J15" s="118">
        <f>J54*33.33%</f>
        <v>2.7774999999999998E-2</v>
      </c>
      <c r="K15" s="119">
        <f>ROUND($J15*K$11,2)</f>
        <v>19.239999999999998</v>
      </c>
      <c r="M15" s="109" t="s">
        <v>233</v>
      </c>
    </row>
    <row r="16" spans="1:15">
      <c r="A16" s="409" t="s">
        <v>10</v>
      </c>
      <c r="B16" s="411" t="s">
        <v>213</v>
      </c>
      <c r="C16" s="411"/>
      <c r="D16" s="411"/>
      <c r="E16" s="411"/>
      <c r="F16" s="411"/>
      <c r="G16" s="411"/>
      <c r="H16" s="411"/>
      <c r="I16" s="412"/>
      <c r="J16" s="118">
        <f>SUM(J14:J15)</f>
        <v>0.11107499999999999</v>
      </c>
      <c r="K16" s="112">
        <f>SUM(K14:K15)</f>
        <v>76.94</v>
      </c>
    </row>
    <row r="17" spans="1:15">
      <c r="A17" s="409" t="s">
        <v>12</v>
      </c>
      <c r="B17" s="328" t="s">
        <v>398</v>
      </c>
      <c r="C17" s="328"/>
      <c r="D17" s="328"/>
      <c r="E17" s="328"/>
      <c r="F17" s="328"/>
      <c r="G17" s="328"/>
      <c r="H17" s="328"/>
      <c r="I17" s="329"/>
      <c r="J17" s="330">
        <f>J16*J28</f>
        <v>3.2767125000000001E-2</v>
      </c>
      <c r="K17" s="331">
        <f>ROUND($J17*K$11,2)</f>
        <v>22.7</v>
      </c>
    </row>
    <row r="18" spans="1:15">
      <c r="A18" s="847" t="s">
        <v>165</v>
      </c>
      <c r="B18" s="848"/>
      <c r="C18" s="848"/>
      <c r="D18" s="848"/>
      <c r="E18" s="848"/>
      <c r="F18" s="848"/>
      <c r="G18" s="848"/>
      <c r="H18" s="848"/>
      <c r="I18" s="863"/>
      <c r="J18" s="125">
        <f>SUM(J16:J17)</f>
        <v>0.14384212499999999</v>
      </c>
      <c r="K18" s="126">
        <f>SUM(K16:K17)</f>
        <v>99.64</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138.55000000000001</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55.42</v>
      </c>
      <c r="L25" s="121"/>
    </row>
    <row r="26" spans="1:15">
      <c r="A26" s="409" t="s">
        <v>15</v>
      </c>
      <c r="B26" s="844" t="s">
        <v>22</v>
      </c>
      <c r="C26" s="844"/>
      <c r="D26" s="844"/>
      <c r="E26" s="844"/>
      <c r="F26" s="410" t="s">
        <v>23</v>
      </c>
      <c r="G26" s="122">
        <v>0.03</v>
      </c>
      <c r="H26" s="410" t="s">
        <v>24</v>
      </c>
      <c r="I26" s="303">
        <v>0.5</v>
      </c>
      <c r="J26" s="104">
        <f>G26*I26</f>
        <v>1.4999999999999999E-2</v>
      </c>
      <c r="K26" s="119">
        <f t="shared" si="0"/>
        <v>10.39</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204.36</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12</v>
      </c>
      <c r="J30" s="402">
        <v>18.818100000000001</v>
      </c>
      <c r="K30" s="123">
        <f>(J30*I30)*80%</f>
        <v>180.65376000000003</v>
      </c>
    </row>
    <row r="31" spans="1:15">
      <c r="A31" s="409" t="s">
        <v>434</v>
      </c>
      <c r="B31" s="150" t="s">
        <v>435</v>
      </c>
      <c r="C31" s="151"/>
      <c r="D31" s="151"/>
      <c r="E31" s="151"/>
      <c r="F31" s="151"/>
      <c r="G31" s="151"/>
      <c r="H31" s="151"/>
      <c r="I31" s="405">
        <v>1</v>
      </c>
      <c r="J31" s="402">
        <v>34.5</v>
      </c>
      <c r="K31" s="123">
        <f>(J31*I31)*80%</f>
        <v>27.6</v>
      </c>
    </row>
    <row r="32" spans="1:15" ht="15.75" thickBot="1">
      <c r="A32" s="409" t="s">
        <v>6</v>
      </c>
      <c r="B32" s="876" t="s">
        <v>218</v>
      </c>
      <c r="C32" s="877"/>
      <c r="D32" s="877"/>
      <c r="E32" s="877"/>
      <c r="F32" s="877"/>
      <c r="G32" s="877"/>
      <c r="H32" s="152"/>
      <c r="I32" s="406">
        <v>24</v>
      </c>
      <c r="J32" s="403">
        <v>4.25</v>
      </c>
      <c r="K32" s="123">
        <f>I32*2*J32</f>
        <v>204</v>
      </c>
    </row>
    <row r="33" spans="1:11">
      <c r="A33" s="409" t="s">
        <v>10</v>
      </c>
      <c r="B33" s="876" t="s">
        <v>219</v>
      </c>
      <c r="C33" s="877"/>
      <c r="D33" s="877"/>
      <c r="E33" s="877"/>
      <c r="F33" s="877"/>
      <c r="G33" s="877"/>
      <c r="H33" s="877"/>
      <c r="I33" s="883"/>
      <c r="J33" s="153">
        <v>-0.06</v>
      </c>
      <c r="K33" s="154">
        <f>K8*J33</f>
        <v>-41.563636363636363</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474.19012363636369</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99.64</v>
      </c>
    </row>
    <row r="42" spans="1:11" s="109" customFormat="1" ht="12.75">
      <c r="A42" s="409" t="s">
        <v>175</v>
      </c>
      <c r="B42" s="857" t="s">
        <v>178</v>
      </c>
      <c r="C42" s="858"/>
      <c r="D42" s="858"/>
      <c r="E42" s="858"/>
      <c r="F42" s="858"/>
      <c r="G42" s="858"/>
      <c r="H42" s="858"/>
      <c r="I42" s="859"/>
      <c r="J42" s="408"/>
      <c r="K42" s="112">
        <f>K28</f>
        <v>204.36</v>
      </c>
    </row>
    <row r="43" spans="1:11" s="109" customFormat="1" ht="12.75">
      <c r="A43" s="409" t="s">
        <v>176</v>
      </c>
      <c r="B43" s="857" t="s">
        <v>180</v>
      </c>
      <c r="C43" s="858"/>
      <c r="D43" s="858"/>
      <c r="E43" s="858"/>
      <c r="F43" s="858"/>
      <c r="G43" s="858"/>
      <c r="H43" s="858"/>
      <c r="I43" s="859"/>
      <c r="J43" s="408"/>
      <c r="K43" s="112">
        <f>K39</f>
        <v>474.19012363636369</v>
      </c>
    </row>
    <row r="44" spans="1:11" s="109" customFormat="1" ht="12.75">
      <c r="A44" s="847" t="s">
        <v>179</v>
      </c>
      <c r="B44" s="848"/>
      <c r="C44" s="848"/>
      <c r="D44" s="848"/>
      <c r="E44" s="848"/>
      <c r="F44" s="848"/>
      <c r="G44" s="848"/>
      <c r="H44" s="848"/>
      <c r="I44" s="863"/>
      <c r="J44" s="125"/>
      <c r="K44" s="126">
        <f>SUM(K41:K43)</f>
        <v>778.19012363636375</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2.89</v>
      </c>
    </row>
    <row r="47" spans="1:11" s="109" customFormat="1" ht="12.75">
      <c r="A47" s="409" t="s">
        <v>6</v>
      </c>
      <c r="B47" s="844" t="s">
        <v>27</v>
      </c>
      <c r="C47" s="844"/>
      <c r="D47" s="844"/>
      <c r="E47" s="844"/>
      <c r="F47" s="844"/>
      <c r="G47" s="844"/>
      <c r="H47" s="844"/>
      <c r="I47" s="844"/>
      <c r="J47" s="118">
        <f>J25*J46</f>
        <v>3.3333333333333332E-4</v>
      </c>
      <c r="K47" s="112">
        <f>ROUND(J47*$K$11,2)</f>
        <v>0.23</v>
      </c>
    </row>
    <row r="48" spans="1:11" s="109" customFormat="1" ht="12.75">
      <c r="A48" s="409" t="s">
        <v>10</v>
      </c>
      <c r="B48" s="844" t="s">
        <v>184</v>
      </c>
      <c r="C48" s="844"/>
      <c r="D48" s="844"/>
      <c r="E48" s="844"/>
      <c r="F48" s="844"/>
      <c r="G48" s="844"/>
      <c r="H48" s="844"/>
      <c r="I48" s="844"/>
      <c r="J48" s="118">
        <f>(1/30)/12*7</f>
        <v>1.9444444444444445E-2</v>
      </c>
      <c r="K48" s="112">
        <f>ROUND(J48*$K$11,2)</f>
        <v>13.47</v>
      </c>
    </row>
    <row r="49" spans="1:15" s="109" customFormat="1" ht="12.75">
      <c r="A49" s="409" t="s">
        <v>12</v>
      </c>
      <c r="B49" s="844" t="s">
        <v>183</v>
      </c>
      <c r="C49" s="844"/>
      <c r="D49" s="844"/>
      <c r="E49" s="844"/>
      <c r="F49" s="844"/>
      <c r="G49" s="844"/>
      <c r="H49" s="844"/>
      <c r="I49" s="844"/>
      <c r="J49" s="118">
        <f>J28*J48</f>
        <v>5.736111111111112E-3</v>
      </c>
      <c r="K49" s="112">
        <f>ROUND(J49*$K$11,2)</f>
        <v>3.97</v>
      </c>
    </row>
    <row r="50" spans="1:15" s="109" customFormat="1" ht="12.75">
      <c r="A50" s="324" t="s">
        <v>14</v>
      </c>
      <c r="B50" s="411" t="s">
        <v>399</v>
      </c>
      <c r="C50" s="411"/>
      <c r="D50" s="411"/>
      <c r="E50" s="411"/>
      <c r="F50" s="411"/>
      <c r="G50" s="411"/>
      <c r="H50" s="411"/>
      <c r="I50" s="412"/>
      <c r="J50" s="118">
        <f>0.5*J25</f>
        <v>0.04</v>
      </c>
      <c r="K50" s="112">
        <f>ROUND(J50*$K$11,2)</f>
        <v>27.71</v>
      </c>
    </row>
    <row r="51" spans="1:15" s="109" customFormat="1" ht="12.75">
      <c r="A51" s="847" t="s">
        <v>181</v>
      </c>
      <c r="B51" s="848"/>
      <c r="C51" s="848"/>
      <c r="D51" s="848"/>
      <c r="E51" s="848"/>
      <c r="F51" s="848"/>
      <c r="G51" s="848"/>
      <c r="H51" s="848"/>
      <c r="I51" s="863"/>
      <c r="J51" s="125">
        <f>SUM(J46:J50)</f>
        <v>6.9680555555555551E-2</v>
      </c>
      <c r="K51" s="126">
        <f>SUM(K46:K50)</f>
        <v>48.269999999999996</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57.73</v>
      </c>
    </row>
    <row r="55" spans="1:15">
      <c r="A55" s="409" t="s">
        <v>6</v>
      </c>
      <c r="B55" s="844" t="s">
        <v>188</v>
      </c>
      <c r="C55" s="844"/>
      <c r="D55" s="844"/>
      <c r="E55" s="844"/>
      <c r="F55" s="874" t="s">
        <v>29</v>
      </c>
      <c r="G55" s="874"/>
      <c r="H55" s="874"/>
      <c r="I55" s="131">
        <v>6</v>
      </c>
      <c r="J55" s="104">
        <f>I55/30/12</f>
        <v>1.6666666666666666E-2</v>
      </c>
      <c r="K55" s="112">
        <f>ROUND(J55*$K$11,2)</f>
        <v>11.55</v>
      </c>
    </row>
    <row r="56" spans="1:15">
      <c r="A56" s="409" t="s">
        <v>10</v>
      </c>
      <c r="B56" s="844" t="s">
        <v>30</v>
      </c>
      <c r="C56" s="844"/>
      <c r="D56" s="844"/>
      <c r="E56" s="844"/>
      <c r="F56" s="874" t="s">
        <v>28</v>
      </c>
      <c r="G56" s="874"/>
      <c r="H56" s="132">
        <v>1.4999999999999999E-2</v>
      </c>
      <c r="I56" s="133">
        <v>5</v>
      </c>
      <c r="J56" s="104">
        <f>I56/30/12*H56</f>
        <v>2.0833333333333332E-4</v>
      </c>
      <c r="K56" s="112">
        <f>ROUND(J56*$K$11,2)</f>
        <v>0.14000000000000001</v>
      </c>
    </row>
    <row r="57" spans="1:15">
      <c r="A57" s="409" t="s">
        <v>12</v>
      </c>
      <c r="B57" s="844" t="s">
        <v>189</v>
      </c>
      <c r="C57" s="844"/>
      <c r="D57" s="844"/>
      <c r="E57" s="131"/>
      <c r="F57" s="874" t="s">
        <v>28</v>
      </c>
      <c r="G57" s="874"/>
      <c r="H57" s="132">
        <v>8.0000000000000002E-3</v>
      </c>
      <c r="I57" s="134">
        <v>20</v>
      </c>
      <c r="J57" s="104">
        <f>I57/30/12*H57</f>
        <v>4.4444444444444441E-4</v>
      </c>
      <c r="K57" s="112">
        <f>ROUND(J57*$K$11,2)</f>
        <v>0.31</v>
      </c>
    </row>
    <row r="58" spans="1:15">
      <c r="A58" s="409" t="s">
        <v>14</v>
      </c>
      <c r="B58" s="844" t="s">
        <v>190</v>
      </c>
      <c r="C58" s="844"/>
      <c r="D58" s="844"/>
      <c r="E58" s="131"/>
      <c r="F58" s="875"/>
      <c r="G58" s="874"/>
      <c r="H58" s="132">
        <v>0.1</v>
      </c>
      <c r="I58" s="134">
        <v>10</v>
      </c>
      <c r="J58" s="104">
        <f>I58/30/12*H58</f>
        <v>2.7777777777777779E-3</v>
      </c>
      <c r="K58" s="112">
        <f>ROUND(J58*$K$11,2)</f>
        <v>1.92</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71.650000000000006</v>
      </c>
    </row>
    <row r="61" spans="1:15">
      <c r="A61" s="409" t="s">
        <v>12</v>
      </c>
      <c r="B61" s="328" t="s">
        <v>215</v>
      </c>
      <c r="C61" s="328"/>
      <c r="D61" s="328"/>
      <c r="E61" s="328"/>
      <c r="F61" s="328"/>
      <c r="G61" s="328"/>
      <c r="H61" s="328"/>
      <c r="I61" s="329"/>
      <c r="J61" s="332">
        <f>J60*J28</f>
        <v>3.0512013888888894E-2</v>
      </c>
      <c r="K61" s="327">
        <f>ROUND(J61*$K$11,2)</f>
        <v>21.14</v>
      </c>
    </row>
    <row r="62" spans="1:15">
      <c r="A62" s="847" t="s">
        <v>192</v>
      </c>
      <c r="B62" s="848"/>
      <c r="C62" s="848"/>
      <c r="D62" s="848"/>
      <c r="E62" s="848"/>
      <c r="F62" s="848"/>
      <c r="G62" s="848"/>
      <c r="H62" s="848"/>
      <c r="I62" s="863"/>
      <c r="J62" s="148">
        <f>SUM(J60:J61)</f>
        <v>0.13394256944444444</v>
      </c>
      <c r="K62" s="126">
        <f>SUM(K60:K61)</f>
        <v>92.79</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92.79</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92.79</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SERVENTES'!F16</f>
        <v>52.833333333333336</v>
      </c>
    </row>
    <row r="73" spans="1:13" s="109" customFormat="1" ht="12.75">
      <c r="A73" s="409" t="s">
        <v>6</v>
      </c>
      <c r="B73" s="866" t="s">
        <v>212</v>
      </c>
      <c r="C73" s="867"/>
      <c r="D73" s="867"/>
      <c r="E73" s="867"/>
      <c r="F73" s="867"/>
      <c r="G73" s="867"/>
      <c r="H73" s="867"/>
      <c r="I73" s="845">
        <v>0</v>
      </c>
      <c r="J73" s="846"/>
      <c r="K73" s="124">
        <f>MATERIAIS!L224</f>
        <v>1214.9166666666667</v>
      </c>
      <c r="L73" s="137"/>
      <c r="M73" s="111"/>
    </row>
    <row r="74" spans="1:13" s="109" customFormat="1" ht="12.75">
      <c r="A74" s="409" t="s">
        <v>10</v>
      </c>
      <c r="B74" s="866" t="s">
        <v>394</v>
      </c>
      <c r="C74" s="867"/>
      <c r="D74" s="867"/>
      <c r="E74" s="867"/>
      <c r="F74" s="867"/>
      <c r="G74" s="867"/>
      <c r="H74" s="867"/>
      <c r="I74" s="845">
        <v>0</v>
      </c>
      <c r="J74" s="846"/>
      <c r="K74" s="124">
        <f>EQUIPAMENTOS!L51</f>
        <v>175.83333333333334</v>
      </c>
      <c r="L74" s="137"/>
      <c r="M74" s="111"/>
    </row>
    <row r="75" spans="1:13" s="109" customFormat="1" ht="12.75">
      <c r="A75" s="847" t="s">
        <v>207</v>
      </c>
      <c r="B75" s="848"/>
      <c r="C75" s="848"/>
      <c r="D75" s="848"/>
      <c r="E75" s="848"/>
      <c r="F75" s="848"/>
      <c r="G75" s="848"/>
      <c r="H75" s="848"/>
      <c r="I75" s="863"/>
      <c r="J75" s="125"/>
      <c r="K75" s="126">
        <f>SUM(K72:K74)</f>
        <v>1443.5833333333333</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7.0000000000000007E-2</v>
      </c>
      <c r="K77" s="119">
        <f>J77*K95</f>
        <v>213.88925107878791</v>
      </c>
      <c r="L77" s="139"/>
    </row>
    <row r="78" spans="1:13" s="109" customFormat="1" ht="12.75">
      <c r="A78" s="409" t="s">
        <v>6</v>
      </c>
      <c r="B78" s="829" t="s">
        <v>32</v>
      </c>
      <c r="C78" s="829"/>
      <c r="D78" s="829"/>
      <c r="E78" s="829"/>
      <c r="F78" s="829"/>
      <c r="G78" s="829"/>
      <c r="H78" s="829"/>
      <c r="I78" s="829"/>
      <c r="J78" s="138">
        <v>0.05</v>
      </c>
      <c r="K78" s="119">
        <f>J78*(K95+K77)</f>
        <v>163.47249903878787</v>
      </c>
      <c r="L78" s="139"/>
    </row>
    <row r="79" spans="1:13" s="109" customFormat="1" ht="12.75">
      <c r="A79" s="836" t="s">
        <v>10</v>
      </c>
      <c r="B79" s="852" t="s">
        <v>33</v>
      </c>
      <c r="C79" s="853"/>
      <c r="D79" s="853"/>
      <c r="E79" s="853"/>
      <c r="F79" s="853"/>
      <c r="G79" s="853"/>
      <c r="H79" s="854"/>
      <c r="I79" s="855">
        <f>K95+K77+K78</f>
        <v>3432.9224798145451</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6.09</v>
      </c>
      <c r="J81" s="840"/>
      <c r="K81" s="841">
        <f>SUM(I81:J86)</f>
        <v>105.09</v>
      </c>
    </row>
    <row r="82" spans="1:11" s="109" customFormat="1" ht="12.75">
      <c r="A82" s="836"/>
      <c r="B82" s="844"/>
      <c r="C82" s="844"/>
      <c r="D82" s="844"/>
      <c r="E82" s="844"/>
      <c r="F82" s="413" t="s">
        <v>38</v>
      </c>
      <c r="G82" s="575">
        <v>7.9500000000000005E-3</v>
      </c>
      <c r="H82" s="838"/>
      <c r="I82" s="839">
        <f t="shared" si="1"/>
        <v>28.13</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70.87</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482.45175011757578</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692.72727272727275</v>
      </c>
    </row>
    <row r="91" spans="1:11" s="109" customFormat="1" ht="12.75">
      <c r="A91" s="409" t="s">
        <v>6</v>
      </c>
      <c r="B91" s="829" t="str">
        <f>A12</f>
        <v>MÓDULO 2 – ENCARGOS E BENEFÍCIOS ANUAIS, MENSAIS E DIÁRIOS</v>
      </c>
      <c r="C91" s="829"/>
      <c r="D91" s="829"/>
      <c r="E91" s="829"/>
      <c r="F91" s="829"/>
      <c r="G91" s="829"/>
      <c r="H91" s="829"/>
      <c r="I91" s="829"/>
      <c r="J91" s="829"/>
      <c r="K91" s="142">
        <f>K44</f>
        <v>778.19012363636375</v>
      </c>
    </row>
    <row r="92" spans="1:11" s="109" customFormat="1" ht="12.75">
      <c r="A92" s="409" t="s">
        <v>10</v>
      </c>
      <c r="B92" s="829" t="str">
        <f>A45</f>
        <v>MÓDULO 3 – PROVISÃO PARA RESCISÃO</v>
      </c>
      <c r="C92" s="829"/>
      <c r="D92" s="829"/>
      <c r="E92" s="829"/>
      <c r="F92" s="829"/>
      <c r="G92" s="829"/>
      <c r="H92" s="829"/>
      <c r="I92" s="829"/>
      <c r="J92" s="829"/>
      <c r="K92" s="142">
        <f>K51</f>
        <v>48.269999999999996</v>
      </c>
    </row>
    <row r="93" spans="1:11" s="109" customFormat="1" ht="12.75">
      <c r="A93" s="409" t="s">
        <v>12</v>
      </c>
      <c r="B93" s="829" t="str">
        <f>A52</f>
        <v>MÓDULO 4 – CUSTO DE REPOSIÇÃO DO PROFISSIONAL AUSENTE</v>
      </c>
      <c r="C93" s="829"/>
      <c r="D93" s="829"/>
      <c r="E93" s="829"/>
      <c r="F93" s="829"/>
      <c r="G93" s="829"/>
      <c r="H93" s="829"/>
      <c r="I93" s="829"/>
      <c r="J93" s="829"/>
      <c r="K93" s="142">
        <f>K62</f>
        <v>92.79</v>
      </c>
    </row>
    <row r="94" spans="1:11" s="109" customFormat="1" ht="12.75">
      <c r="A94" s="409" t="s">
        <v>14</v>
      </c>
      <c r="B94" s="829" t="str">
        <f>A71</f>
        <v>MÓDULO 5 – INSUMOS DIVERSOS</v>
      </c>
      <c r="C94" s="829"/>
      <c r="D94" s="829"/>
      <c r="E94" s="829"/>
      <c r="F94" s="829"/>
      <c r="G94" s="829"/>
      <c r="H94" s="829"/>
      <c r="I94" s="829"/>
      <c r="J94" s="829"/>
      <c r="K94" s="142">
        <f>K75</f>
        <v>1443.5833333333333</v>
      </c>
    </row>
    <row r="95" spans="1:11" s="109" customFormat="1" ht="12.75">
      <c r="A95" s="830" t="s">
        <v>209</v>
      </c>
      <c r="B95" s="830"/>
      <c r="C95" s="830"/>
      <c r="D95" s="830"/>
      <c r="E95" s="830"/>
      <c r="F95" s="830"/>
      <c r="G95" s="830"/>
      <c r="H95" s="830"/>
      <c r="I95" s="830"/>
      <c r="J95" s="830"/>
      <c r="K95" s="107">
        <f>SUM(K90:K94)</f>
        <v>3055.5607296969697</v>
      </c>
    </row>
    <row r="96" spans="1:11" s="109" customFormat="1" ht="12.75">
      <c r="A96" s="409" t="s">
        <v>14</v>
      </c>
      <c r="B96" s="829" t="s">
        <v>46</v>
      </c>
      <c r="C96" s="829"/>
      <c r="D96" s="829"/>
      <c r="E96" s="829"/>
      <c r="F96" s="829"/>
      <c r="G96" s="829"/>
      <c r="H96" s="829"/>
      <c r="I96" s="829"/>
      <c r="J96" s="829"/>
      <c r="K96" s="108">
        <f>K97-K95</f>
        <v>482.4392703030303</v>
      </c>
    </row>
    <row r="97" spans="1:15" s="109" customFormat="1" ht="12.75">
      <c r="A97" s="831" t="s">
        <v>47</v>
      </c>
      <c r="B97" s="831"/>
      <c r="C97" s="831"/>
      <c r="D97" s="831"/>
      <c r="E97" s="831"/>
      <c r="F97" s="831"/>
      <c r="G97" s="831"/>
      <c r="H97" s="831"/>
      <c r="I97" s="831"/>
      <c r="J97" s="831"/>
      <c r="K97" s="143">
        <f>ROUND(I79/(1-$H$81),2)</f>
        <v>3538</v>
      </c>
    </row>
    <row r="98" spans="1:15" s="109" customFormat="1" ht="12.75">
      <c r="A98" s="832" t="s">
        <v>214</v>
      </c>
      <c r="B98" s="821"/>
      <c r="C98" s="821"/>
      <c r="D98" s="821"/>
      <c r="E98" s="821"/>
      <c r="F98" s="821"/>
      <c r="G98" s="821"/>
      <c r="H98" s="821"/>
      <c r="I98" s="155"/>
      <c r="J98" s="407">
        <v>1</v>
      </c>
      <c r="K98" s="156">
        <f>K97</f>
        <v>3538</v>
      </c>
    </row>
    <row r="99" spans="1:15" s="109" customFormat="1" ht="13.5" thickBot="1">
      <c r="A99" s="816" t="s">
        <v>217</v>
      </c>
      <c r="B99" s="816"/>
      <c r="C99" s="816"/>
      <c r="D99" s="816"/>
      <c r="E99" s="816"/>
      <c r="F99" s="816"/>
      <c r="G99" s="816"/>
      <c r="H99" s="816"/>
      <c r="I99" s="816"/>
      <c r="J99" s="816"/>
      <c r="K99" s="157">
        <f>K98*12</f>
        <v>42456</v>
      </c>
    </row>
    <row r="100" spans="1:15" s="109" customFormat="1" ht="13.5" thickBot="1">
      <c r="A100" s="833" t="s">
        <v>529</v>
      </c>
      <c r="B100" s="834"/>
      <c r="C100" s="834"/>
      <c r="D100" s="834"/>
      <c r="E100" s="834"/>
      <c r="F100" s="834"/>
      <c r="G100" s="834"/>
      <c r="H100" s="834"/>
      <c r="I100" s="834"/>
      <c r="J100" s="835"/>
      <c r="K100" s="514">
        <f>(K99/12)</f>
        <v>3538</v>
      </c>
    </row>
    <row r="101" spans="1:15" s="109" customFormat="1" ht="15" customHeight="1">
      <c r="G101" s="158"/>
      <c r="H101" s="817" t="s">
        <v>48</v>
      </c>
      <c r="I101" s="818"/>
      <c r="J101" s="818"/>
      <c r="K101" s="819"/>
    </row>
    <row r="102" spans="1:15" s="109" customFormat="1" ht="12.75">
      <c r="G102" s="159"/>
      <c r="H102" s="820" t="s">
        <v>49</v>
      </c>
      <c r="I102" s="821"/>
      <c r="J102" s="822"/>
      <c r="K102" s="160" t="s">
        <v>9</v>
      </c>
    </row>
    <row r="103" spans="1:15" ht="15" customHeight="1">
      <c r="G103" s="161"/>
      <c r="H103" s="162" t="s">
        <v>50</v>
      </c>
      <c r="I103" s="144"/>
      <c r="J103" s="145"/>
      <c r="K103" s="163">
        <f>J77</f>
        <v>7.0000000000000007E-2</v>
      </c>
      <c r="M103" s="304"/>
      <c r="N103" s="304"/>
      <c r="O103" s="304"/>
    </row>
    <row r="104" spans="1:15" ht="15" customHeight="1">
      <c r="G104" s="161"/>
      <c r="H104" s="823" t="s">
        <v>32</v>
      </c>
      <c r="I104" s="824"/>
      <c r="J104" s="825"/>
      <c r="K104" s="163">
        <f>J78</f>
        <v>0.05</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0.15788931258373706</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66:J66"/>
    <mergeCell ref="B67:I67"/>
    <mergeCell ref="B68:I68"/>
    <mergeCell ref="A69:I69"/>
    <mergeCell ref="A70:K70"/>
    <mergeCell ref="A71:I71"/>
    <mergeCell ref="B73:H73"/>
    <mergeCell ref="B74:H74"/>
    <mergeCell ref="I73:J73"/>
    <mergeCell ref="I74:J74"/>
    <mergeCell ref="A75:I75"/>
    <mergeCell ref="A76:I76"/>
    <mergeCell ref="B77:I77"/>
    <mergeCell ref="B78:I78"/>
    <mergeCell ref="A79:A86"/>
    <mergeCell ref="B79:H79"/>
    <mergeCell ref="I79:J79"/>
    <mergeCell ref="B80:E80"/>
    <mergeCell ref="I80:J80"/>
    <mergeCell ref="B81:E83"/>
    <mergeCell ref="A87:J87"/>
    <mergeCell ref="A88:K88"/>
    <mergeCell ref="A89:J89"/>
    <mergeCell ref="B90:J90"/>
    <mergeCell ref="B91:J91"/>
    <mergeCell ref="B92:J92"/>
    <mergeCell ref="H81:H86"/>
    <mergeCell ref="I81:J81"/>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CCFF"/>
    <pageSetUpPr fitToPage="1"/>
  </sheetPr>
  <dimension ref="A1:O116"/>
  <sheetViews>
    <sheetView view="pageBreakPreview" zoomScaleNormal="100" zoomScaleSheetLayoutView="100" workbookViewId="0">
      <selection activeCell="J78" sqref="J78"/>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532</v>
      </c>
      <c r="B5" s="897"/>
      <c r="C5" s="897"/>
      <c r="D5" s="897"/>
      <c r="E5" s="897"/>
      <c r="F5" s="897"/>
      <c r="G5" s="897"/>
      <c r="H5" s="897"/>
      <c r="I5" s="898" t="s">
        <v>655</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409" t="s">
        <v>4</v>
      </c>
      <c r="B8" s="890" t="s">
        <v>397</v>
      </c>
      <c r="C8" s="890"/>
      <c r="D8" s="890"/>
      <c r="E8" s="890"/>
      <c r="F8" s="890"/>
      <c r="G8" s="890"/>
      <c r="H8" s="890"/>
      <c r="I8" s="890"/>
      <c r="J8" s="890"/>
      <c r="K8" s="333">
        <f>K7/44*24</f>
        <v>692.72727272727275</v>
      </c>
      <c r="L8" s="326"/>
      <c r="M8" s="111"/>
    </row>
    <row r="9" spans="1:15">
      <c r="A9" s="409" t="s">
        <v>6</v>
      </c>
      <c r="B9" s="374" t="s">
        <v>433</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692.72727272727275</v>
      </c>
      <c r="L10" s="113"/>
    </row>
    <row r="11" spans="1:15">
      <c r="A11" s="892" t="s">
        <v>208</v>
      </c>
      <c r="B11" s="892"/>
      <c r="C11" s="892"/>
      <c r="D11" s="892"/>
      <c r="E11" s="892"/>
      <c r="F11" s="892"/>
      <c r="G11" s="892"/>
      <c r="H11" s="892"/>
      <c r="I11" s="892"/>
      <c r="J11" s="892"/>
      <c r="K11" s="114">
        <f>SUM(K10:K10)</f>
        <v>692.72727272727275</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57.7</v>
      </c>
    </row>
    <row r="15" spans="1:15">
      <c r="A15" s="409" t="s">
        <v>6</v>
      </c>
      <c r="B15" s="857" t="s">
        <v>164</v>
      </c>
      <c r="C15" s="858"/>
      <c r="D15" s="858"/>
      <c r="E15" s="858"/>
      <c r="F15" s="858"/>
      <c r="G15" s="858"/>
      <c r="H15" s="858"/>
      <c r="I15" s="859"/>
      <c r="J15" s="118">
        <f>J54*33.33%</f>
        <v>2.7774999999999998E-2</v>
      </c>
      <c r="K15" s="119">
        <f>ROUND($J15*K$11,2)</f>
        <v>19.239999999999998</v>
      </c>
      <c r="M15" s="109" t="s">
        <v>233</v>
      </c>
    </row>
    <row r="16" spans="1:15">
      <c r="A16" s="409" t="s">
        <v>10</v>
      </c>
      <c r="B16" s="411" t="s">
        <v>213</v>
      </c>
      <c r="C16" s="411"/>
      <c r="D16" s="411"/>
      <c r="E16" s="411"/>
      <c r="F16" s="411"/>
      <c r="G16" s="411"/>
      <c r="H16" s="411"/>
      <c r="I16" s="412"/>
      <c r="J16" s="118">
        <f>SUM(J14:J15)</f>
        <v>0.11107499999999999</v>
      </c>
      <c r="K16" s="112">
        <f>SUM(K14:K15)</f>
        <v>76.94</v>
      </c>
    </row>
    <row r="17" spans="1:15">
      <c r="A17" s="409" t="s">
        <v>12</v>
      </c>
      <c r="B17" s="328" t="s">
        <v>398</v>
      </c>
      <c r="C17" s="328"/>
      <c r="D17" s="328"/>
      <c r="E17" s="328"/>
      <c r="F17" s="328"/>
      <c r="G17" s="328"/>
      <c r="H17" s="328"/>
      <c r="I17" s="329"/>
      <c r="J17" s="330">
        <f>J16*J28</f>
        <v>3.2767125000000001E-2</v>
      </c>
      <c r="K17" s="331">
        <f>ROUND($J17*K$11,2)</f>
        <v>22.7</v>
      </c>
    </row>
    <row r="18" spans="1:15">
      <c r="A18" s="847" t="s">
        <v>165</v>
      </c>
      <c r="B18" s="848"/>
      <c r="C18" s="848"/>
      <c r="D18" s="848"/>
      <c r="E18" s="848"/>
      <c r="F18" s="848"/>
      <c r="G18" s="848"/>
      <c r="H18" s="848"/>
      <c r="I18" s="863"/>
      <c r="J18" s="125">
        <f>SUM(J16:J17)</f>
        <v>0.14384212499999999</v>
      </c>
      <c r="K18" s="126">
        <f>SUM(K16:K17)</f>
        <v>99.64</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138.55000000000001</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55.42</v>
      </c>
      <c r="L25" s="121"/>
    </row>
    <row r="26" spans="1:15">
      <c r="A26" s="409" t="s">
        <v>15</v>
      </c>
      <c r="B26" s="844" t="s">
        <v>22</v>
      </c>
      <c r="C26" s="844"/>
      <c r="D26" s="844"/>
      <c r="E26" s="844"/>
      <c r="F26" s="410" t="s">
        <v>23</v>
      </c>
      <c r="G26" s="122">
        <v>0.03</v>
      </c>
      <c r="H26" s="410" t="s">
        <v>24</v>
      </c>
      <c r="I26" s="303">
        <v>0.5</v>
      </c>
      <c r="J26" s="104">
        <f>G26*I26</f>
        <v>1.4999999999999999E-2</v>
      </c>
      <c r="K26" s="119">
        <f t="shared" si="0"/>
        <v>10.39</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204.36</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12</v>
      </c>
      <c r="J30" s="402">
        <v>18.818100000000001</v>
      </c>
      <c r="K30" s="123">
        <f>(J30*I30)*80%</f>
        <v>180.65376000000003</v>
      </c>
    </row>
    <row r="31" spans="1:15">
      <c r="A31" s="409" t="s">
        <v>434</v>
      </c>
      <c r="B31" s="150" t="s">
        <v>435</v>
      </c>
      <c r="C31" s="151"/>
      <c r="D31" s="151"/>
      <c r="E31" s="151"/>
      <c r="F31" s="151"/>
      <c r="G31" s="151"/>
      <c r="H31" s="151"/>
      <c r="I31" s="405">
        <v>1</v>
      </c>
      <c r="J31" s="402">
        <v>34.5</v>
      </c>
      <c r="K31" s="123">
        <f>(J31*I31)*80%</f>
        <v>27.6</v>
      </c>
    </row>
    <row r="32" spans="1:15" ht="15.75" thickBot="1">
      <c r="A32" s="409" t="s">
        <v>6</v>
      </c>
      <c r="B32" s="876" t="s">
        <v>218</v>
      </c>
      <c r="C32" s="877"/>
      <c r="D32" s="877"/>
      <c r="E32" s="877"/>
      <c r="F32" s="877"/>
      <c r="G32" s="877"/>
      <c r="H32" s="152"/>
      <c r="I32" s="406">
        <v>24</v>
      </c>
      <c r="J32" s="403">
        <v>4.3</v>
      </c>
      <c r="K32" s="123">
        <f>I32*2*J32</f>
        <v>206.39999999999998</v>
      </c>
    </row>
    <row r="33" spans="1:11">
      <c r="A33" s="409" t="s">
        <v>10</v>
      </c>
      <c r="B33" s="876" t="s">
        <v>219</v>
      </c>
      <c r="C33" s="877"/>
      <c r="D33" s="877"/>
      <c r="E33" s="877"/>
      <c r="F33" s="877"/>
      <c r="G33" s="877"/>
      <c r="H33" s="877"/>
      <c r="I33" s="883"/>
      <c r="J33" s="153">
        <v>-0.06</v>
      </c>
      <c r="K33" s="154">
        <f>K8*J33</f>
        <v>-41.563636363636363</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476.59012363636367</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99.64</v>
      </c>
    </row>
    <row r="42" spans="1:11" s="109" customFormat="1" ht="12.75">
      <c r="A42" s="409" t="s">
        <v>175</v>
      </c>
      <c r="B42" s="857" t="s">
        <v>178</v>
      </c>
      <c r="C42" s="858"/>
      <c r="D42" s="858"/>
      <c r="E42" s="858"/>
      <c r="F42" s="858"/>
      <c r="G42" s="858"/>
      <c r="H42" s="858"/>
      <c r="I42" s="859"/>
      <c r="J42" s="408"/>
      <c r="K42" s="112">
        <f>K28</f>
        <v>204.36</v>
      </c>
    </row>
    <row r="43" spans="1:11" s="109" customFormat="1" ht="12.75">
      <c r="A43" s="409" t="s">
        <v>176</v>
      </c>
      <c r="B43" s="857" t="s">
        <v>180</v>
      </c>
      <c r="C43" s="858"/>
      <c r="D43" s="858"/>
      <c r="E43" s="858"/>
      <c r="F43" s="858"/>
      <c r="G43" s="858"/>
      <c r="H43" s="858"/>
      <c r="I43" s="859"/>
      <c r="J43" s="408"/>
      <c r="K43" s="112">
        <f>K39</f>
        <v>476.59012363636367</v>
      </c>
    </row>
    <row r="44" spans="1:11" s="109" customFormat="1" ht="12.75">
      <c r="A44" s="847" t="s">
        <v>179</v>
      </c>
      <c r="B44" s="848"/>
      <c r="C44" s="848"/>
      <c r="D44" s="848"/>
      <c r="E44" s="848"/>
      <c r="F44" s="848"/>
      <c r="G44" s="848"/>
      <c r="H44" s="848"/>
      <c r="I44" s="863"/>
      <c r="J44" s="125"/>
      <c r="K44" s="126">
        <f>SUM(K41:K43)</f>
        <v>780.59012363636361</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2.89</v>
      </c>
    </row>
    <row r="47" spans="1:11" s="109" customFormat="1" ht="12.75">
      <c r="A47" s="409" t="s">
        <v>6</v>
      </c>
      <c r="B47" s="844" t="s">
        <v>27</v>
      </c>
      <c r="C47" s="844"/>
      <c r="D47" s="844"/>
      <c r="E47" s="844"/>
      <c r="F47" s="844"/>
      <c r="G47" s="844"/>
      <c r="H47" s="844"/>
      <c r="I47" s="844"/>
      <c r="J47" s="118">
        <f>J25*J46</f>
        <v>3.3333333333333332E-4</v>
      </c>
      <c r="K47" s="112">
        <f>ROUND(J47*$K$11,2)</f>
        <v>0.23</v>
      </c>
    </row>
    <row r="48" spans="1:11" s="109" customFormat="1" ht="12.75">
      <c r="A48" s="409" t="s">
        <v>10</v>
      </c>
      <c r="B48" s="844" t="s">
        <v>184</v>
      </c>
      <c r="C48" s="844"/>
      <c r="D48" s="844"/>
      <c r="E48" s="844"/>
      <c r="F48" s="844"/>
      <c r="G48" s="844"/>
      <c r="H48" s="844"/>
      <c r="I48" s="844"/>
      <c r="J48" s="118">
        <f>(1/30)/12*7</f>
        <v>1.9444444444444445E-2</v>
      </c>
      <c r="K48" s="112">
        <f>ROUND(J48*$K$11,2)</f>
        <v>13.47</v>
      </c>
    </row>
    <row r="49" spans="1:15" s="109" customFormat="1" ht="12.75">
      <c r="A49" s="409" t="s">
        <v>12</v>
      </c>
      <c r="B49" s="844" t="s">
        <v>183</v>
      </c>
      <c r="C49" s="844"/>
      <c r="D49" s="844"/>
      <c r="E49" s="844"/>
      <c r="F49" s="844"/>
      <c r="G49" s="844"/>
      <c r="H49" s="844"/>
      <c r="I49" s="844"/>
      <c r="J49" s="118">
        <f>J28*J48</f>
        <v>5.736111111111112E-3</v>
      </c>
      <c r="K49" s="112">
        <f>ROUND(J49*$K$11,2)</f>
        <v>3.97</v>
      </c>
    </row>
    <row r="50" spans="1:15" s="109" customFormat="1" ht="12.75">
      <c r="A50" s="324" t="s">
        <v>14</v>
      </c>
      <c r="B50" s="411" t="s">
        <v>399</v>
      </c>
      <c r="C50" s="411"/>
      <c r="D50" s="411"/>
      <c r="E50" s="411"/>
      <c r="F50" s="411"/>
      <c r="G50" s="411"/>
      <c r="H50" s="411"/>
      <c r="I50" s="412"/>
      <c r="J50" s="118">
        <f>0.5*J25</f>
        <v>0.04</v>
      </c>
      <c r="K50" s="112">
        <f>ROUND(J50*$K$11,2)</f>
        <v>27.71</v>
      </c>
    </row>
    <row r="51" spans="1:15" s="109" customFormat="1" ht="12.75">
      <c r="A51" s="847" t="s">
        <v>181</v>
      </c>
      <c r="B51" s="848"/>
      <c r="C51" s="848"/>
      <c r="D51" s="848"/>
      <c r="E51" s="848"/>
      <c r="F51" s="848"/>
      <c r="G51" s="848"/>
      <c r="H51" s="848"/>
      <c r="I51" s="863"/>
      <c r="J51" s="125">
        <f>SUM(J46:J50)</f>
        <v>6.9680555555555551E-2</v>
      </c>
      <c r="K51" s="126">
        <f>SUM(K46:K50)</f>
        <v>48.269999999999996</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57.73</v>
      </c>
    </row>
    <row r="55" spans="1:15">
      <c r="A55" s="409" t="s">
        <v>6</v>
      </c>
      <c r="B55" s="844" t="s">
        <v>188</v>
      </c>
      <c r="C55" s="844"/>
      <c r="D55" s="844"/>
      <c r="E55" s="844"/>
      <c r="F55" s="874" t="s">
        <v>29</v>
      </c>
      <c r="G55" s="874"/>
      <c r="H55" s="874"/>
      <c r="I55" s="131">
        <v>6</v>
      </c>
      <c r="J55" s="104">
        <f>I55/30/12</f>
        <v>1.6666666666666666E-2</v>
      </c>
      <c r="K55" s="112">
        <f>ROUND(J55*$K$11,2)</f>
        <v>11.55</v>
      </c>
    </row>
    <row r="56" spans="1:15">
      <c r="A56" s="409" t="s">
        <v>10</v>
      </c>
      <c r="B56" s="844" t="s">
        <v>30</v>
      </c>
      <c r="C56" s="844"/>
      <c r="D56" s="844"/>
      <c r="E56" s="844"/>
      <c r="F56" s="874" t="s">
        <v>28</v>
      </c>
      <c r="G56" s="874"/>
      <c r="H56" s="132">
        <v>1.4999999999999999E-2</v>
      </c>
      <c r="I56" s="133">
        <v>5</v>
      </c>
      <c r="J56" s="104">
        <f>I56/30/12*H56</f>
        <v>2.0833333333333332E-4</v>
      </c>
      <c r="K56" s="112">
        <f>ROUND(J56*$K$11,2)</f>
        <v>0.14000000000000001</v>
      </c>
    </row>
    <row r="57" spans="1:15">
      <c r="A57" s="409" t="s">
        <v>12</v>
      </c>
      <c r="B57" s="844" t="s">
        <v>189</v>
      </c>
      <c r="C57" s="844"/>
      <c r="D57" s="844"/>
      <c r="E57" s="131"/>
      <c r="F57" s="874" t="s">
        <v>28</v>
      </c>
      <c r="G57" s="874"/>
      <c r="H57" s="132">
        <v>8.0000000000000002E-3</v>
      </c>
      <c r="I57" s="134">
        <v>20</v>
      </c>
      <c r="J57" s="104">
        <f>I57/30/12*H57</f>
        <v>4.4444444444444441E-4</v>
      </c>
      <c r="K57" s="112">
        <f>ROUND(J57*$K$11,2)</f>
        <v>0.31</v>
      </c>
    </row>
    <row r="58" spans="1:15">
      <c r="A58" s="409" t="s">
        <v>14</v>
      </c>
      <c r="B58" s="844" t="s">
        <v>190</v>
      </c>
      <c r="C58" s="844"/>
      <c r="D58" s="844"/>
      <c r="E58" s="131"/>
      <c r="F58" s="875"/>
      <c r="G58" s="874"/>
      <c r="H58" s="132">
        <v>0.1</v>
      </c>
      <c r="I58" s="134">
        <v>10</v>
      </c>
      <c r="J58" s="104">
        <f>I58/30/12*H58</f>
        <v>2.7777777777777779E-3</v>
      </c>
      <c r="K58" s="112">
        <f>ROUND(J58*$K$11,2)</f>
        <v>1.92</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71.650000000000006</v>
      </c>
    </row>
    <row r="61" spans="1:15">
      <c r="A61" s="409" t="s">
        <v>12</v>
      </c>
      <c r="B61" s="328" t="s">
        <v>215</v>
      </c>
      <c r="C61" s="328"/>
      <c r="D61" s="328"/>
      <c r="E61" s="328"/>
      <c r="F61" s="328"/>
      <c r="G61" s="328"/>
      <c r="H61" s="328"/>
      <c r="I61" s="329"/>
      <c r="J61" s="332">
        <f>J60*J28</f>
        <v>3.0512013888888894E-2</v>
      </c>
      <c r="K61" s="327">
        <f>ROUND(J61*$K$11,2)</f>
        <v>21.14</v>
      </c>
    </row>
    <row r="62" spans="1:15">
      <c r="A62" s="847" t="s">
        <v>192</v>
      </c>
      <c r="B62" s="848"/>
      <c r="C62" s="848"/>
      <c r="D62" s="848"/>
      <c r="E62" s="848"/>
      <c r="F62" s="848"/>
      <c r="G62" s="848"/>
      <c r="H62" s="848"/>
      <c r="I62" s="863"/>
      <c r="J62" s="148">
        <f>SUM(J60:J61)</f>
        <v>0.13394256944444444</v>
      </c>
      <c r="K62" s="126">
        <f>SUM(K60:K61)</f>
        <v>92.79</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92.79</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92.79</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SERVENTES'!F16</f>
        <v>52.833333333333336</v>
      </c>
    </row>
    <row r="73" spans="1:13" s="109" customFormat="1" ht="12.75">
      <c r="A73" s="409" t="s">
        <v>6</v>
      </c>
      <c r="B73" s="866" t="s">
        <v>212</v>
      </c>
      <c r="C73" s="867"/>
      <c r="D73" s="867"/>
      <c r="E73" s="867"/>
      <c r="F73" s="867"/>
      <c r="G73" s="867"/>
      <c r="H73" s="867"/>
      <c r="I73" s="845">
        <v>0</v>
      </c>
      <c r="J73" s="846"/>
      <c r="K73" s="124">
        <f>MATERIAIS!M224</f>
        <v>795.91666666666663</v>
      </c>
      <c r="L73" s="137"/>
      <c r="M73" s="111"/>
    </row>
    <row r="74" spans="1:13" s="109" customFormat="1" ht="12.75">
      <c r="A74" s="409" t="s">
        <v>10</v>
      </c>
      <c r="B74" s="866" t="s">
        <v>394</v>
      </c>
      <c r="C74" s="867"/>
      <c r="D74" s="867"/>
      <c r="E74" s="867"/>
      <c r="F74" s="867"/>
      <c r="G74" s="867"/>
      <c r="H74" s="867"/>
      <c r="I74" s="845">
        <v>0</v>
      </c>
      <c r="J74" s="846"/>
      <c r="K74" s="124">
        <f>EQUIPAMENTOS!M51</f>
        <v>118.33333333333333</v>
      </c>
      <c r="L74" s="137"/>
      <c r="M74" s="111"/>
    </row>
    <row r="75" spans="1:13" s="109" customFormat="1" ht="12.75">
      <c r="A75" s="847" t="s">
        <v>207</v>
      </c>
      <c r="B75" s="848"/>
      <c r="C75" s="848"/>
      <c r="D75" s="848"/>
      <c r="E75" s="848"/>
      <c r="F75" s="848"/>
      <c r="G75" s="848"/>
      <c r="H75" s="848"/>
      <c r="I75" s="863"/>
      <c r="J75" s="125"/>
      <c r="K75" s="126">
        <f>SUM(K72:K74)</f>
        <v>967.08333333333337</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0.12</v>
      </c>
      <c r="K77" s="119">
        <f>J77*K95</f>
        <v>309.77528756363637</v>
      </c>
      <c r="L77" s="139"/>
    </row>
    <row r="78" spans="1:13" s="109" customFormat="1" ht="12.75">
      <c r="A78" s="409" t="s">
        <v>6</v>
      </c>
      <c r="B78" s="829" t="s">
        <v>32</v>
      </c>
      <c r="C78" s="829"/>
      <c r="D78" s="829"/>
      <c r="E78" s="829"/>
      <c r="F78" s="829"/>
      <c r="G78" s="829"/>
      <c r="H78" s="829"/>
      <c r="I78" s="829"/>
      <c r="J78" s="138">
        <v>0.08</v>
      </c>
      <c r="K78" s="119">
        <f>J78*(K95+K77)</f>
        <v>231.29888138084851</v>
      </c>
      <c r="L78" s="139"/>
    </row>
    <row r="79" spans="1:13" s="109" customFormat="1" ht="12.75">
      <c r="A79" s="836" t="s">
        <v>10</v>
      </c>
      <c r="B79" s="852" t="s">
        <v>33</v>
      </c>
      <c r="C79" s="853"/>
      <c r="D79" s="853"/>
      <c r="E79" s="853"/>
      <c r="F79" s="853"/>
      <c r="G79" s="853"/>
      <c r="H79" s="854"/>
      <c r="I79" s="855">
        <f>K95+K77+K78</f>
        <v>3122.5348986414547</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5.54</v>
      </c>
      <c r="J81" s="840"/>
      <c r="K81" s="841">
        <f>SUM(I81:J86)</f>
        <v>95.579999999999984</v>
      </c>
    </row>
    <row r="82" spans="1:11" s="109" customFormat="1" ht="12.75">
      <c r="A82" s="836"/>
      <c r="B82" s="844"/>
      <c r="C82" s="844"/>
      <c r="D82" s="844"/>
      <c r="E82" s="844"/>
      <c r="F82" s="413" t="s">
        <v>38</v>
      </c>
      <c r="G82" s="575">
        <v>7.9500000000000005E-3</v>
      </c>
      <c r="H82" s="838"/>
      <c r="I82" s="839">
        <f t="shared" si="1"/>
        <v>25.58</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64.459999999999994</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636.65416894448481</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692.72727272727275</v>
      </c>
    </row>
    <row r="91" spans="1:11" s="109" customFormat="1" ht="12.75">
      <c r="A91" s="409" t="s">
        <v>6</v>
      </c>
      <c r="B91" s="829" t="str">
        <f>A12</f>
        <v>MÓDULO 2 – ENCARGOS E BENEFÍCIOS ANUAIS, MENSAIS E DIÁRIOS</v>
      </c>
      <c r="C91" s="829"/>
      <c r="D91" s="829"/>
      <c r="E91" s="829"/>
      <c r="F91" s="829"/>
      <c r="G91" s="829"/>
      <c r="H91" s="829"/>
      <c r="I91" s="829"/>
      <c r="J91" s="829"/>
      <c r="K91" s="142">
        <f>K44</f>
        <v>780.59012363636361</v>
      </c>
    </row>
    <row r="92" spans="1:11" s="109" customFormat="1" ht="12.75">
      <c r="A92" s="409" t="s">
        <v>10</v>
      </c>
      <c r="B92" s="829" t="str">
        <f>A45</f>
        <v>MÓDULO 3 – PROVISÃO PARA RESCISÃO</v>
      </c>
      <c r="C92" s="829"/>
      <c r="D92" s="829"/>
      <c r="E92" s="829"/>
      <c r="F92" s="829"/>
      <c r="G92" s="829"/>
      <c r="H92" s="829"/>
      <c r="I92" s="829"/>
      <c r="J92" s="829"/>
      <c r="K92" s="142">
        <f>K51</f>
        <v>48.269999999999996</v>
      </c>
    </row>
    <row r="93" spans="1:11" s="109" customFormat="1" ht="12.75">
      <c r="A93" s="409" t="s">
        <v>12</v>
      </c>
      <c r="B93" s="829" t="str">
        <f>A52</f>
        <v>MÓDULO 4 – CUSTO DE REPOSIÇÃO DO PROFISSIONAL AUSENTE</v>
      </c>
      <c r="C93" s="829"/>
      <c r="D93" s="829"/>
      <c r="E93" s="829"/>
      <c r="F93" s="829"/>
      <c r="G93" s="829"/>
      <c r="H93" s="829"/>
      <c r="I93" s="829"/>
      <c r="J93" s="829"/>
      <c r="K93" s="142">
        <f>K62</f>
        <v>92.79</v>
      </c>
    </row>
    <row r="94" spans="1:11" s="109" customFormat="1" ht="12.75">
      <c r="A94" s="409" t="s">
        <v>14</v>
      </c>
      <c r="B94" s="829" t="str">
        <f>A71</f>
        <v>MÓDULO 5 – INSUMOS DIVERSOS</v>
      </c>
      <c r="C94" s="829"/>
      <c r="D94" s="829"/>
      <c r="E94" s="829"/>
      <c r="F94" s="829"/>
      <c r="G94" s="829"/>
      <c r="H94" s="829"/>
      <c r="I94" s="829"/>
      <c r="J94" s="829"/>
      <c r="K94" s="142">
        <f>K75</f>
        <v>967.08333333333337</v>
      </c>
    </row>
    <row r="95" spans="1:11" s="109" customFormat="1" ht="12.75">
      <c r="A95" s="830" t="s">
        <v>209</v>
      </c>
      <c r="B95" s="830"/>
      <c r="C95" s="830"/>
      <c r="D95" s="830"/>
      <c r="E95" s="830"/>
      <c r="F95" s="830"/>
      <c r="G95" s="830"/>
      <c r="H95" s="830"/>
      <c r="I95" s="830"/>
      <c r="J95" s="830"/>
      <c r="K95" s="107">
        <f>SUM(K90:K94)</f>
        <v>2581.4607296969698</v>
      </c>
    </row>
    <row r="96" spans="1:11" s="109" customFormat="1" ht="12.75">
      <c r="A96" s="409" t="s">
        <v>14</v>
      </c>
      <c r="B96" s="829" t="s">
        <v>46</v>
      </c>
      <c r="C96" s="829"/>
      <c r="D96" s="829"/>
      <c r="E96" s="829"/>
      <c r="F96" s="829"/>
      <c r="G96" s="829"/>
      <c r="H96" s="829"/>
      <c r="I96" s="829"/>
      <c r="J96" s="829"/>
      <c r="K96" s="108">
        <f>K97-K95</f>
        <v>636.64927030303033</v>
      </c>
    </row>
    <row r="97" spans="1:15" s="109" customFormat="1" ht="12.75">
      <c r="A97" s="831" t="s">
        <v>47</v>
      </c>
      <c r="B97" s="831"/>
      <c r="C97" s="831"/>
      <c r="D97" s="831"/>
      <c r="E97" s="831"/>
      <c r="F97" s="831"/>
      <c r="G97" s="831"/>
      <c r="H97" s="831"/>
      <c r="I97" s="831"/>
      <c r="J97" s="831"/>
      <c r="K97" s="143">
        <f>ROUND(I79/(1-$H$81),2)</f>
        <v>3218.11</v>
      </c>
    </row>
    <row r="98" spans="1:15" s="109" customFormat="1" ht="12.75">
      <c r="A98" s="832" t="s">
        <v>214</v>
      </c>
      <c r="B98" s="821"/>
      <c r="C98" s="821"/>
      <c r="D98" s="821"/>
      <c r="E98" s="821"/>
      <c r="F98" s="821"/>
      <c r="G98" s="821"/>
      <c r="H98" s="821"/>
      <c r="I98" s="155"/>
      <c r="J98" s="407">
        <v>1</v>
      </c>
      <c r="K98" s="156">
        <f>K97</f>
        <v>3218.11</v>
      </c>
    </row>
    <row r="99" spans="1:15" s="109" customFormat="1" ht="13.5" thickBot="1">
      <c r="A99" s="816" t="s">
        <v>217</v>
      </c>
      <c r="B99" s="816"/>
      <c r="C99" s="816"/>
      <c r="D99" s="816"/>
      <c r="E99" s="816"/>
      <c r="F99" s="816"/>
      <c r="G99" s="816"/>
      <c r="H99" s="816"/>
      <c r="I99" s="816"/>
      <c r="J99" s="816"/>
      <c r="K99" s="157">
        <f>K98*12</f>
        <v>38617.32</v>
      </c>
    </row>
    <row r="100" spans="1:15" s="109" customFormat="1" ht="13.5" thickBot="1">
      <c r="A100" s="833" t="s">
        <v>529</v>
      </c>
      <c r="B100" s="834"/>
      <c r="C100" s="834"/>
      <c r="D100" s="834"/>
      <c r="E100" s="834"/>
      <c r="F100" s="834"/>
      <c r="G100" s="834"/>
      <c r="H100" s="834"/>
      <c r="I100" s="834"/>
      <c r="J100" s="835"/>
      <c r="K100" s="514">
        <f>(K99/12)</f>
        <v>3218.11</v>
      </c>
    </row>
    <row r="101" spans="1:15" s="109" customFormat="1" ht="15" customHeight="1">
      <c r="G101" s="158"/>
      <c r="H101" s="817" t="s">
        <v>48</v>
      </c>
      <c r="I101" s="818"/>
      <c r="J101" s="818"/>
      <c r="K101" s="819"/>
    </row>
    <row r="102" spans="1:15" s="109" customFormat="1" ht="12.75">
      <c r="G102" s="159"/>
      <c r="H102" s="820" t="s">
        <v>49</v>
      </c>
      <c r="I102" s="821"/>
      <c r="J102" s="822"/>
      <c r="K102" s="160" t="s">
        <v>9</v>
      </c>
    </row>
    <row r="103" spans="1:15" ht="15" customHeight="1">
      <c r="G103" s="161"/>
      <c r="H103" s="162" t="s">
        <v>50</v>
      </c>
      <c r="I103" s="144"/>
      <c r="J103" s="145"/>
      <c r="K103" s="163">
        <f>J77</f>
        <v>0.12</v>
      </c>
      <c r="M103" s="304"/>
      <c r="N103" s="304"/>
      <c r="O103" s="304"/>
    </row>
    <row r="104" spans="1:15" ht="15" customHeight="1">
      <c r="G104" s="161"/>
      <c r="H104" s="823" t="s">
        <v>32</v>
      </c>
      <c r="I104" s="824"/>
      <c r="J104" s="825"/>
      <c r="K104" s="163">
        <f>J78</f>
        <v>0.08</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0.24662475523034133</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66:J66"/>
    <mergeCell ref="B67:I67"/>
    <mergeCell ref="B68:I68"/>
    <mergeCell ref="A69:I69"/>
    <mergeCell ref="A70:K70"/>
    <mergeCell ref="A71:I71"/>
    <mergeCell ref="B73:H73"/>
    <mergeCell ref="B74:H74"/>
    <mergeCell ref="I73:J73"/>
    <mergeCell ref="I74:J74"/>
    <mergeCell ref="A75:I75"/>
    <mergeCell ref="A76:I76"/>
    <mergeCell ref="B77:I77"/>
    <mergeCell ref="B78:I78"/>
    <mergeCell ref="A79:A86"/>
    <mergeCell ref="B79:H79"/>
    <mergeCell ref="I79:J79"/>
    <mergeCell ref="B80:E80"/>
    <mergeCell ref="I80:J80"/>
    <mergeCell ref="B81:E83"/>
    <mergeCell ref="A87:J87"/>
    <mergeCell ref="A88:K88"/>
    <mergeCell ref="A89:J89"/>
    <mergeCell ref="B90:J90"/>
    <mergeCell ref="B91:J91"/>
    <mergeCell ref="B92:J92"/>
    <mergeCell ref="H81:H86"/>
    <mergeCell ref="I81:J81"/>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CCFF"/>
    <pageSetUpPr fitToPage="1"/>
  </sheetPr>
  <dimension ref="A1:O116"/>
  <sheetViews>
    <sheetView view="pageBreakPreview" zoomScaleNormal="100" zoomScaleSheetLayoutView="100" workbookViewId="0">
      <selection activeCell="I79" sqref="I79:J79"/>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399"/>
      <c r="B4" s="335"/>
      <c r="C4" s="335"/>
      <c r="D4" s="335"/>
      <c r="E4" s="335"/>
      <c r="F4" s="335"/>
      <c r="G4" s="335"/>
      <c r="H4" s="335"/>
      <c r="I4" s="335"/>
      <c r="J4" s="335"/>
      <c r="K4" s="400"/>
      <c r="L4" s="305"/>
      <c r="M4" s="305"/>
      <c r="N4" s="305"/>
      <c r="O4" s="305"/>
    </row>
    <row r="5" spans="1:15" ht="27" customHeight="1">
      <c r="A5" s="896" t="s">
        <v>533</v>
      </c>
      <c r="B5" s="897"/>
      <c r="C5" s="897"/>
      <c r="D5" s="897"/>
      <c r="E5" s="897"/>
      <c r="F5" s="897"/>
      <c r="G5" s="897"/>
      <c r="H5" s="897"/>
      <c r="I5" s="898" t="s">
        <v>534</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385" t="s">
        <v>4</v>
      </c>
      <c r="B8" s="890" t="s">
        <v>397</v>
      </c>
      <c r="C8" s="890"/>
      <c r="D8" s="890"/>
      <c r="E8" s="890"/>
      <c r="F8" s="890"/>
      <c r="G8" s="890"/>
      <c r="H8" s="890"/>
      <c r="I8" s="890"/>
      <c r="J8" s="890"/>
      <c r="K8" s="333">
        <f>K7/220*6*5</f>
        <v>173.18181818181816</v>
      </c>
      <c r="L8" s="326"/>
      <c r="M8" s="111"/>
    </row>
    <row r="9" spans="1:15">
      <c r="A9" s="385" t="s">
        <v>6</v>
      </c>
      <c r="B9" s="374" t="s">
        <v>433</v>
      </c>
      <c r="C9" s="375"/>
      <c r="D9" s="375"/>
      <c r="E9" s="375"/>
      <c r="F9" s="375"/>
      <c r="G9" s="375"/>
      <c r="H9" s="375"/>
      <c r="I9" s="375"/>
      <c r="J9" s="376">
        <v>0</v>
      </c>
      <c r="K9" s="333">
        <v>0</v>
      </c>
      <c r="L9" s="326"/>
      <c r="M9" s="111"/>
    </row>
    <row r="10" spans="1:15">
      <c r="A10" s="385"/>
      <c r="B10" s="866" t="s">
        <v>220</v>
      </c>
      <c r="C10" s="867"/>
      <c r="D10" s="867"/>
      <c r="E10" s="867"/>
      <c r="F10" s="867"/>
      <c r="G10" s="867"/>
      <c r="H10" s="867"/>
      <c r="I10" s="867"/>
      <c r="J10" s="891"/>
      <c r="K10" s="302">
        <f>SUM(K8:K9)</f>
        <v>173.18181818181816</v>
      </c>
      <c r="L10" s="113"/>
    </row>
    <row r="11" spans="1:15">
      <c r="A11" s="892" t="s">
        <v>208</v>
      </c>
      <c r="B11" s="892"/>
      <c r="C11" s="892"/>
      <c r="D11" s="892"/>
      <c r="E11" s="892"/>
      <c r="F11" s="892"/>
      <c r="G11" s="892"/>
      <c r="H11" s="892"/>
      <c r="I11" s="892"/>
      <c r="J11" s="892"/>
      <c r="K11" s="114">
        <f>SUM(K10:K10)</f>
        <v>173.18181818181816</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385" t="s">
        <v>4</v>
      </c>
      <c r="B14" s="857" t="s">
        <v>163</v>
      </c>
      <c r="C14" s="858"/>
      <c r="D14" s="858"/>
      <c r="E14" s="858"/>
      <c r="F14" s="858"/>
      <c r="G14" s="858"/>
      <c r="H14" s="858"/>
      <c r="I14" s="859"/>
      <c r="J14" s="118">
        <v>8.3299999999999999E-2</v>
      </c>
      <c r="K14" s="119">
        <f>ROUND($J14*K$11,2)</f>
        <v>14.43</v>
      </c>
    </row>
    <row r="15" spans="1:15">
      <c r="A15" s="385" t="s">
        <v>6</v>
      </c>
      <c r="B15" s="857" t="s">
        <v>164</v>
      </c>
      <c r="C15" s="858"/>
      <c r="D15" s="858"/>
      <c r="E15" s="858"/>
      <c r="F15" s="858"/>
      <c r="G15" s="858"/>
      <c r="H15" s="858"/>
      <c r="I15" s="859"/>
      <c r="J15" s="118">
        <f>J54*33.33%</f>
        <v>2.7774999999999998E-2</v>
      </c>
      <c r="K15" s="119">
        <f>ROUND($J15*K$11,2)</f>
        <v>4.8099999999999996</v>
      </c>
      <c r="M15" s="109" t="s">
        <v>233</v>
      </c>
    </row>
    <row r="16" spans="1:15">
      <c r="A16" s="385" t="s">
        <v>10</v>
      </c>
      <c r="B16" s="381" t="s">
        <v>213</v>
      </c>
      <c r="C16" s="381"/>
      <c r="D16" s="381"/>
      <c r="E16" s="381"/>
      <c r="F16" s="381"/>
      <c r="G16" s="381"/>
      <c r="H16" s="381"/>
      <c r="I16" s="382"/>
      <c r="J16" s="118">
        <f>SUM(J14:J15)</f>
        <v>0.11107499999999999</v>
      </c>
      <c r="K16" s="112">
        <f>SUM(K14:K15)</f>
        <v>19.239999999999998</v>
      </c>
    </row>
    <row r="17" spans="1:15">
      <c r="A17" s="385" t="s">
        <v>12</v>
      </c>
      <c r="B17" s="328" t="s">
        <v>398</v>
      </c>
      <c r="C17" s="328"/>
      <c r="D17" s="328"/>
      <c r="E17" s="328"/>
      <c r="F17" s="328"/>
      <c r="G17" s="328"/>
      <c r="H17" s="328"/>
      <c r="I17" s="329"/>
      <c r="J17" s="330">
        <f>J16*J28</f>
        <v>3.2767125000000001E-2</v>
      </c>
      <c r="K17" s="331">
        <f>ROUND($J17*K$11,2)</f>
        <v>5.67</v>
      </c>
    </row>
    <row r="18" spans="1:15">
      <c r="A18" s="847" t="s">
        <v>165</v>
      </c>
      <c r="B18" s="848"/>
      <c r="C18" s="848"/>
      <c r="D18" s="848"/>
      <c r="E18" s="848"/>
      <c r="F18" s="848"/>
      <c r="G18" s="848"/>
      <c r="H18" s="848"/>
      <c r="I18" s="863"/>
      <c r="J18" s="125">
        <f>SUM(J16:J17)</f>
        <v>0.14384212499999999</v>
      </c>
      <c r="K18" s="126">
        <f>SUM(K16:K17)</f>
        <v>24.909999999999997</v>
      </c>
    </row>
    <row r="19" spans="1:15">
      <c r="A19" s="872" t="s">
        <v>167</v>
      </c>
      <c r="B19" s="873"/>
      <c r="C19" s="873"/>
      <c r="D19" s="873"/>
      <c r="E19" s="873"/>
      <c r="F19" s="873"/>
      <c r="G19" s="873"/>
      <c r="H19" s="873"/>
      <c r="I19" s="873"/>
      <c r="J19" s="117" t="s">
        <v>9</v>
      </c>
      <c r="K19" s="112" t="s">
        <v>166</v>
      </c>
    </row>
    <row r="20" spans="1:15">
      <c r="A20" s="385" t="s">
        <v>4</v>
      </c>
      <c r="B20" s="844" t="s">
        <v>17</v>
      </c>
      <c r="C20" s="844"/>
      <c r="D20" s="844"/>
      <c r="E20" s="844"/>
      <c r="F20" s="844"/>
      <c r="G20" s="844"/>
      <c r="H20" s="844"/>
      <c r="I20" s="844"/>
      <c r="J20" s="103">
        <v>0.2</v>
      </c>
      <c r="K20" s="119">
        <f>ROUND($J$20*K11,2)</f>
        <v>34.64</v>
      </c>
    </row>
    <row r="21" spans="1:15">
      <c r="A21" s="385" t="s">
        <v>6</v>
      </c>
      <c r="B21" s="844" t="s">
        <v>18</v>
      </c>
      <c r="C21" s="844"/>
      <c r="D21" s="844"/>
      <c r="E21" s="844"/>
      <c r="F21" s="844"/>
      <c r="G21" s="844"/>
      <c r="H21" s="844"/>
      <c r="I21" s="844"/>
      <c r="J21" s="103">
        <v>0</v>
      </c>
      <c r="K21" s="119">
        <f>ROUND($J$21*K11,2)</f>
        <v>0</v>
      </c>
    </row>
    <row r="22" spans="1:15">
      <c r="A22" s="385" t="s">
        <v>10</v>
      </c>
      <c r="B22" s="844" t="s">
        <v>19</v>
      </c>
      <c r="C22" s="844"/>
      <c r="D22" s="844"/>
      <c r="E22" s="844"/>
      <c r="F22" s="844"/>
      <c r="G22" s="844"/>
      <c r="H22" s="844"/>
      <c r="I22" s="844"/>
      <c r="J22" s="103">
        <v>0</v>
      </c>
      <c r="K22" s="119">
        <f t="shared" ref="K22:K27" si="0">ROUND(J22*$K$11,2)</f>
        <v>0</v>
      </c>
    </row>
    <row r="23" spans="1:15">
      <c r="A23" s="385" t="s">
        <v>12</v>
      </c>
      <c r="B23" s="844" t="s">
        <v>20</v>
      </c>
      <c r="C23" s="844"/>
      <c r="D23" s="844"/>
      <c r="E23" s="844"/>
      <c r="F23" s="844"/>
      <c r="G23" s="844"/>
      <c r="H23" s="844"/>
      <c r="I23" s="844"/>
      <c r="J23" s="103">
        <v>0</v>
      </c>
      <c r="K23" s="119">
        <f t="shared" si="0"/>
        <v>0</v>
      </c>
    </row>
    <row r="24" spans="1:15">
      <c r="A24" s="385" t="s">
        <v>14</v>
      </c>
      <c r="B24" s="844" t="s">
        <v>21</v>
      </c>
      <c r="C24" s="844"/>
      <c r="D24" s="844"/>
      <c r="E24" s="844"/>
      <c r="F24" s="844"/>
      <c r="G24" s="844"/>
      <c r="H24" s="844"/>
      <c r="I24" s="844"/>
      <c r="J24" s="103">
        <v>0</v>
      </c>
      <c r="K24" s="119">
        <f t="shared" si="0"/>
        <v>0</v>
      </c>
      <c r="L24" s="120"/>
    </row>
    <row r="25" spans="1:15">
      <c r="A25" s="385" t="s">
        <v>1</v>
      </c>
      <c r="B25" s="857" t="s">
        <v>153</v>
      </c>
      <c r="C25" s="859"/>
      <c r="D25" s="884">
        <v>0.08</v>
      </c>
      <c r="E25" s="885"/>
      <c r="F25" s="857"/>
      <c r="G25" s="858"/>
      <c r="H25" s="858"/>
      <c r="I25" s="859"/>
      <c r="J25" s="103">
        <v>0.08</v>
      </c>
      <c r="K25" s="119">
        <f t="shared" si="0"/>
        <v>13.85</v>
      </c>
      <c r="L25" s="121"/>
    </row>
    <row r="26" spans="1:15">
      <c r="A26" s="385" t="s">
        <v>15</v>
      </c>
      <c r="B26" s="844" t="s">
        <v>22</v>
      </c>
      <c r="C26" s="844"/>
      <c r="D26" s="844"/>
      <c r="E26" s="844"/>
      <c r="F26" s="378" t="s">
        <v>23</v>
      </c>
      <c r="G26" s="122">
        <v>0.03</v>
      </c>
      <c r="H26" s="378" t="s">
        <v>24</v>
      </c>
      <c r="I26" s="303">
        <v>0.5</v>
      </c>
      <c r="J26" s="104">
        <f>G26*I26</f>
        <v>1.4999999999999999E-2</v>
      </c>
      <c r="K26" s="119">
        <f t="shared" si="0"/>
        <v>2.6</v>
      </c>
    </row>
    <row r="27" spans="1:15">
      <c r="A27" s="385"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51.09</v>
      </c>
      <c r="L28" s="305"/>
      <c r="M28" s="305"/>
      <c r="N28" s="305"/>
      <c r="O28" s="305"/>
    </row>
    <row r="29" spans="1:15">
      <c r="A29" s="886" t="s">
        <v>170</v>
      </c>
      <c r="B29" s="887"/>
      <c r="C29" s="887"/>
      <c r="D29" s="887"/>
      <c r="E29" s="887"/>
      <c r="F29" s="887"/>
      <c r="G29" s="887"/>
      <c r="H29" s="887"/>
      <c r="I29" s="404" t="s">
        <v>463</v>
      </c>
      <c r="J29" s="401"/>
      <c r="K29" s="112" t="s">
        <v>166</v>
      </c>
    </row>
    <row r="30" spans="1:15">
      <c r="A30" s="385" t="s">
        <v>4</v>
      </c>
      <c r="B30" s="150" t="s">
        <v>436</v>
      </c>
      <c r="C30" s="151"/>
      <c r="D30" s="151"/>
      <c r="E30" s="151"/>
      <c r="F30" s="151"/>
      <c r="G30" s="151"/>
      <c r="H30" s="151"/>
      <c r="I30" s="405">
        <v>4</v>
      </c>
      <c r="J30" s="402">
        <v>13.8</v>
      </c>
      <c r="K30" s="123">
        <f>(J30*I30)*80%</f>
        <v>44.160000000000004</v>
      </c>
    </row>
    <row r="31" spans="1:15">
      <c r="A31" s="385" t="s">
        <v>434</v>
      </c>
      <c r="B31" s="150" t="s">
        <v>435</v>
      </c>
      <c r="C31" s="151"/>
      <c r="D31" s="151"/>
      <c r="E31" s="151"/>
      <c r="F31" s="151"/>
      <c r="G31" s="151"/>
      <c r="H31" s="151"/>
      <c r="I31" s="405">
        <v>0</v>
      </c>
      <c r="J31" s="402">
        <v>0</v>
      </c>
      <c r="K31" s="123">
        <f>(J31*I31)*80%</f>
        <v>0</v>
      </c>
    </row>
    <row r="32" spans="1:15" ht="15.75" thickBot="1">
      <c r="A32" s="385" t="s">
        <v>6</v>
      </c>
      <c r="B32" s="876" t="s">
        <v>218</v>
      </c>
      <c r="C32" s="877"/>
      <c r="D32" s="877"/>
      <c r="E32" s="877"/>
      <c r="F32" s="877"/>
      <c r="G32" s="877"/>
      <c r="H32" s="152"/>
      <c r="I32" s="406">
        <v>8</v>
      </c>
      <c r="J32" s="403">
        <v>3.1</v>
      </c>
      <c r="K32" s="123">
        <f>I32*2*J32</f>
        <v>49.6</v>
      </c>
    </row>
    <row r="33" spans="1:11">
      <c r="A33" s="385" t="s">
        <v>10</v>
      </c>
      <c r="B33" s="876" t="s">
        <v>219</v>
      </c>
      <c r="C33" s="877"/>
      <c r="D33" s="877"/>
      <c r="E33" s="877"/>
      <c r="F33" s="877"/>
      <c r="G33" s="877"/>
      <c r="H33" s="877"/>
      <c r="I33" s="883"/>
      <c r="J33" s="153">
        <v>-0.06</v>
      </c>
      <c r="K33" s="154">
        <f>K8*J33</f>
        <v>-10.390909090909089</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385" t="s">
        <v>15</v>
      </c>
      <c r="B37" s="876" t="s">
        <v>439</v>
      </c>
      <c r="C37" s="877"/>
      <c r="D37" s="877"/>
      <c r="E37" s="877"/>
      <c r="F37" s="877"/>
      <c r="G37" s="877"/>
      <c r="H37" s="877"/>
      <c r="I37" s="878"/>
      <c r="J37" s="378"/>
      <c r="K37" s="112">
        <v>0</v>
      </c>
    </row>
    <row r="38" spans="1:11" s="109" customFormat="1" ht="12.75">
      <c r="A38" s="385"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186.86909090909091</v>
      </c>
    </row>
    <row r="40" spans="1:11" s="109" customFormat="1" ht="12.75">
      <c r="A40" s="850" t="s">
        <v>173</v>
      </c>
      <c r="B40" s="850"/>
      <c r="C40" s="850"/>
      <c r="D40" s="850"/>
      <c r="E40" s="850"/>
      <c r="F40" s="850"/>
      <c r="G40" s="850"/>
      <c r="H40" s="850"/>
      <c r="I40" s="850"/>
      <c r="J40" s="850"/>
      <c r="K40" s="128" t="s">
        <v>166</v>
      </c>
    </row>
    <row r="41" spans="1:11" s="109" customFormat="1" ht="12.75">
      <c r="A41" s="385" t="s">
        <v>174</v>
      </c>
      <c r="B41" s="857" t="s">
        <v>177</v>
      </c>
      <c r="C41" s="858"/>
      <c r="D41" s="858"/>
      <c r="E41" s="858"/>
      <c r="F41" s="858"/>
      <c r="G41" s="858"/>
      <c r="H41" s="858"/>
      <c r="I41" s="859"/>
      <c r="J41" s="383"/>
      <c r="K41" s="112">
        <f>K18</f>
        <v>24.909999999999997</v>
      </c>
    </row>
    <row r="42" spans="1:11" s="109" customFormat="1" ht="12.75">
      <c r="A42" s="385" t="s">
        <v>175</v>
      </c>
      <c r="B42" s="857" t="s">
        <v>178</v>
      </c>
      <c r="C42" s="858"/>
      <c r="D42" s="858"/>
      <c r="E42" s="858"/>
      <c r="F42" s="858"/>
      <c r="G42" s="858"/>
      <c r="H42" s="858"/>
      <c r="I42" s="859"/>
      <c r="J42" s="383"/>
      <c r="K42" s="112">
        <f>K28</f>
        <v>51.09</v>
      </c>
    </row>
    <row r="43" spans="1:11" s="109" customFormat="1" ht="12.75">
      <c r="A43" s="385" t="s">
        <v>176</v>
      </c>
      <c r="B43" s="857" t="s">
        <v>180</v>
      </c>
      <c r="C43" s="858"/>
      <c r="D43" s="858"/>
      <c r="E43" s="858"/>
      <c r="F43" s="858"/>
      <c r="G43" s="858"/>
      <c r="H43" s="858"/>
      <c r="I43" s="859"/>
      <c r="J43" s="383"/>
      <c r="K43" s="112">
        <f>K39</f>
        <v>186.86909090909091</v>
      </c>
    </row>
    <row r="44" spans="1:11" s="109" customFormat="1" ht="12.75">
      <c r="A44" s="847" t="s">
        <v>179</v>
      </c>
      <c r="B44" s="848"/>
      <c r="C44" s="848"/>
      <c r="D44" s="848"/>
      <c r="E44" s="848"/>
      <c r="F44" s="848"/>
      <c r="G44" s="848"/>
      <c r="H44" s="848"/>
      <c r="I44" s="863"/>
      <c r="J44" s="125"/>
      <c r="K44" s="126">
        <f>SUM(K41:K43)</f>
        <v>262.86909090909091</v>
      </c>
    </row>
    <row r="45" spans="1:11" s="109" customFormat="1" ht="12.75">
      <c r="A45" s="850" t="s">
        <v>171</v>
      </c>
      <c r="B45" s="850"/>
      <c r="C45" s="850"/>
      <c r="D45" s="850"/>
      <c r="E45" s="850"/>
      <c r="F45" s="850"/>
      <c r="G45" s="850"/>
      <c r="H45" s="850"/>
      <c r="I45" s="850"/>
      <c r="J45" s="127" t="s">
        <v>9</v>
      </c>
      <c r="K45" s="128" t="s">
        <v>166</v>
      </c>
    </row>
    <row r="46" spans="1:11" s="109" customFormat="1" ht="12.75">
      <c r="A46" s="385" t="s">
        <v>4</v>
      </c>
      <c r="B46" s="844" t="s">
        <v>26</v>
      </c>
      <c r="C46" s="844"/>
      <c r="D46" s="844"/>
      <c r="E46" s="844"/>
      <c r="F46" s="844"/>
      <c r="G46" s="844"/>
      <c r="H46" s="129">
        <v>30</v>
      </c>
      <c r="I46" s="130">
        <v>0.05</v>
      </c>
      <c r="J46" s="118">
        <f>H46/30/12*I46</f>
        <v>4.1666666666666666E-3</v>
      </c>
      <c r="K46" s="112">
        <f>ROUND(J46*$K$11,2)</f>
        <v>0.72</v>
      </c>
    </row>
    <row r="47" spans="1:11" s="109" customFormat="1" ht="12.75">
      <c r="A47" s="385" t="s">
        <v>6</v>
      </c>
      <c r="B47" s="844" t="s">
        <v>27</v>
      </c>
      <c r="C47" s="844"/>
      <c r="D47" s="844"/>
      <c r="E47" s="844"/>
      <c r="F47" s="844"/>
      <c r="G47" s="844"/>
      <c r="H47" s="844"/>
      <c r="I47" s="844"/>
      <c r="J47" s="118">
        <f>J25*J46</f>
        <v>3.3333333333333332E-4</v>
      </c>
      <c r="K47" s="112">
        <f>ROUND(J47*$K$11,2)</f>
        <v>0.06</v>
      </c>
    </row>
    <row r="48" spans="1:11" s="109" customFormat="1" ht="12.75">
      <c r="A48" s="385" t="s">
        <v>10</v>
      </c>
      <c r="B48" s="844" t="s">
        <v>184</v>
      </c>
      <c r="C48" s="844"/>
      <c r="D48" s="844"/>
      <c r="E48" s="844"/>
      <c r="F48" s="844"/>
      <c r="G48" s="844"/>
      <c r="H48" s="844"/>
      <c r="I48" s="844"/>
      <c r="J48" s="118">
        <f>(1/30)/12*7</f>
        <v>1.9444444444444445E-2</v>
      </c>
      <c r="K48" s="112">
        <f>ROUND(J48*$K$11,2)</f>
        <v>3.37</v>
      </c>
    </row>
    <row r="49" spans="1:15" s="109" customFormat="1" ht="12.75">
      <c r="A49" s="385" t="s">
        <v>12</v>
      </c>
      <c r="B49" s="844" t="s">
        <v>183</v>
      </c>
      <c r="C49" s="844"/>
      <c r="D49" s="844"/>
      <c r="E49" s="844"/>
      <c r="F49" s="844"/>
      <c r="G49" s="844"/>
      <c r="H49" s="844"/>
      <c r="I49" s="844"/>
      <c r="J49" s="118">
        <f>J28*J48</f>
        <v>5.736111111111112E-3</v>
      </c>
      <c r="K49" s="112">
        <f>ROUND(J49*$K$11,2)</f>
        <v>0.99</v>
      </c>
    </row>
    <row r="50" spans="1:15" s="109" customFormat="1" ht="12.75">
      <c r="A50" s="324" t="s">
        <v>14</v>
      </c>
      <c r="B50" s="381" t="s">
        <v>399</v>
      </c>
      <c r="C50" s="381"/>
      <c r="D50" s="381"/>
      <c r="E50" s="381"/>
      <c r="F50" s="381"/>
      <c r="G50" s="381"/>
      <c r="H50" s="381"/>
      <c r="I50" s="382"/>
      <c r="J50" s="118">
        <f>0.5*J25</f>
        <v>0.04</v>
      </c>
      <c r="K50" s="112">
        <f>ROUND(J50*$K$11,2)</f>
        <v>6.93</v>
      </c>
    </row>
    <row r="51" spans="1:15" s="109" customFormat="1" ht="12.75">
      <c r="A51" s="847" t="s">
        <v>181</v>
      </c>
      <c r="B51" s="848"/>
      <c r="C51" s="848"/>
      <c r="D51" s="848"/>
      <c r="E51" s="848"/>
      <c r="F51" s="848"/>
      <c r="G51" s="848"/>
      <c r="H51" s="848"/>
      <c r="I51" s="863"/>
      <c r="J51" s="125">
        <f>SUM(J46:J50)</f>
        <v>6.9680555555555551E-2</v>
      </c>
      <c r="K51" s="126">
        <f>SUM(K46:K50)</f>
        <v>12.07</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385" t="s">
        <v>4</v>
      </c>
      <c r="B54" s="829" t="s">
        <v>187</v>
      </c>
      <c r="C54" s="829"/>
      <c r="D54" s="829"/>
      <c r="E54" s="829"/>
      <c r="F54" s="829"/>
      <c r="G54" s="829"/>
      <c r="H54" s="829"/>
      <c r="I54" s="829"/>
      <c r="J54" s="104">
        <f>1/12</f>
        <v>8.3333333333333329E-2</v>
      </c>
      <c r="K54" s="112">
        <f>ROUND(J54*$K$11,2)</f>
        <v>14.43</v>
      </c>
    </row>
    <row r="55" spans="1:15">
      <c r="A55" s="385" t="s">
        <v>6</v>
      </c>
      <c r="B55" s="844" t="s">
        <v>188</v>
      </c>
      <c r="C55" s="844"/>
      <c r="D55" s="844"/>
      <c r="E55" s="844"/>
      <c r="F55" s="874" t="s">
        <v>29</v>
      </c>
      <c r="G55" s="874"/>
      <c r="H55" s="874"/>
      <c r="I55" s="131">
        <v>6</v>
      </c>
      <c r="J55" s="104">
        <f>I55/30/12</f>
        <v>1.6666666666666666E-2</v>
      </c>
      <c r="K55" s="112">
        <f>ROUND(J55*$K$11,2)</f>
        <v>2.89</v>
      </c>
    </row>
    <row r="56" spans="1:15">
      <c r="A56" s="385" t="s">
        <v>10</v>
      </c>
      <c r="B56" s="844" t="s">
        <v>30</v>
      </c>
      <c r="C56" s="844"/>
      <c r="D56" s="844"/>
      <c r="E56" s="844"/>
      <c r="F56" s="874" t="s">
        <v>28</v>
      </c>
      <c r="G56" s="874"/>
      <c r="H56" s="132">
        <v>1.4999999999999999E-2</v>
      </c>
      <c r="I56" s="133">
        <v>5</v>
      </c>
      <c r="J56" s="104">
        <f>I56/30/12*H56</f>
        <v>2.0833333333333332E-4</v>
      </c>
      <c r="K56" s="112">
        <f>ROUND(J56*$K$11,2)</f>
        <v>0.04</v>
      </c>
    </row>
    <row r="57" spans="1:15">
      <c r="A57" s="385" t="s">
        <v>12</v>
      </c>
      <c r="B57" s="844" t="s">
        <v>189</v>
      </c>
      <c r="C57" s="844"/>
      <c r="D57" s="844"/>
      <c r="E57" s="131"/>
      <c r="F57" s="874" t="s">
        <v>28</v>
      </c>
      <c r="G57" s="874"/>
      <c r="H57" s="132">
        <v>8.0000000000000002E-3</v>
      </c>
      <c r="I57" s="134">
        <v>20</v>
      </c>
      <c r="J57" s="104">
        <f>I57/30/12*H57</f>
        <v>4.4444444444444441E-4</v>
      </c>
      <c r="K57" s="112">
        <f>ROUND(J57*$K$11,2)</f>
        <v>0.08</v>
      </c>
    </row>
    <row r="58" spans="1:15">
      <c r="A58" s="385" t="s">
        <v>14</v>
      </c>
      <c r="B58" s="844" t="s">
        <v>190</v>
      </c>
      <c r="C58" s="844"/>
      <c r="D58" s="844"/>
      <c r="E58" s="131"/>
      <c r="F58" s="875"/>
      <c r="G58" s="874"/>
      <c r="H58" s="132">
        <v>0.1</v>
      </c>
      <c r="I58" s="134">
        <v>10</v>
      </c>
      <c r="J58" s="104">
        <f>I58/30/12*H58</f>
        <v>2.7777777777777779E-3</v>
      </c>
      <c r="K58" s="112">
        <f>ROUND(J58*$K$11,2)</f>
        <v>0.48</v>
      </c>
      <c r="L58" s="111"/>
    </row>
    <row r="59" spans="1:15">
      <c r="A59" s="385"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17.919999999999998</v>
      </c>
    </row>
    <row r="61" spans="1:15">
      <c r="A61" s="385" t="s">
        <v>12</v>
      </c>
      <c r="B61" s="328" t="s">
        <v>215</v>
      </c>
      <c r="C61" s="328"/>
      <c r="D61" s="328"/>
      <c r="E61" s="328"/>
      <c r="F61" s="328"/>
      <c r="G61" s="328"/>
      <c r="H61" s="328"/>
      <c r="I61" s="329"/>
      <c r="J61" s="332">
        <f>J60*J28</f>
        <v>3.0512013888888894E-2</v>
      </c>
      <c r="K61" s="327">
        <f>ROUND(J61*$K$11,2)</f>
        <v>5.28</v>
      </c>
    </row>
    <row r="62" spans="1:15">
      <c r="A62" s="847" t="s">
        <v>192</v>
      </c>
      <c r="B62" s="848"/>
      <c r="C62" s="848"/>
      <c r="D62" s="848"/>
      <c r="E62" s="848"/>
      <c r="F62" s="848"/>
      <c r="G62" s="848"/>
      <c r="H62" s="848"/>
      <c r="I62" s="863"/>
      <c r="J62" s="148">
        <f>SUM(J60:J61)</f>
        <v>0.13394256944444444</v>
      </c>
      <c r="K62" s="126">
        <f>SUM(K60:K61)</f>
        <v>23.2</v>
      </c>
      <c r="L62" s="149"/>
      <c r="M62" s="149"/>
      <c r="N62" s="149"/>
      <c r="O62" s="149"/>
    </row>
    <row r="63" spans="1:15">
      <c r="A63" s="872" t="s">
        <v>193</v>
      </c>
      <c r="B63" s="873"/>
      <c r="C63" s="873"/>
      <c r="D63" s="873"/>
      <c r="E63" s="873"/>
      <c r="F63" s="873"/>
      <c r="G63" s="873"/>
      <c r="H63" s="873"/>
      <c r="I63" s="873"/>
      <c r="J63" s="117" t="s">
        <v>9</v>
      </c>
      <c r="K63" s="112" t="s">
        <v>166</v>
      </c>
    </row>
    <row r="64" spans="1:15">
      <c r="A64" s="385"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385" t="s">
        <v>197</v>
      </c>
      <c r="B67" s="857" t="s">
        <v>188</v>
      </c>
      <c r="C67" s="858"/>
      <c r="D67" s="858"/>
      <c r="E67" s="858"/>
      <c r="F67" s="858"/>
      <c r="G67" s="858"/>
      <c r="H67" s="858"/>
      <c r="I67" s="859"/>
      <c r="J67" s="383"/>
      <c r="K67" s="112">
        <f>K62</f>
        <v>23.2</v>
      </c>
    </row>
    <row r="68" spans="1:13">
      <c r="A68" s="385" t="s">
        <v>198</v>
      </c>
      <c r="B68" s="857" t="s">
        <v>199</v>
      </c>
      <c r="C68" s="858"/>
      <c r="D68" s="858"/>
      <c r="E68" s="858"/>
      <c r="F68" s="858"/>
      <c r="G68" s="858"/>
      <c r="H68" s="858"/>
      <c r="I68" s="859"/>
      <c r="J68" s="383"/>
      <c r="K68" s="112">
        <f>K65</f>
        <v>0</v>
      </c>
    </row>
    <row r="69" spans="1:13">
      <c r="A69" s="847" t="s">
        <v>200</v>
      </c>
      <c r="B69" s="848"/>
      <c r="C69" s="848"/>
      <c r="D69" s="848"/>
      <c r="E69" s="848"/>
      <c r="F69" s="848"/>
      <c r="G69" s="848"/>
      <c r="H69" s="848"/>
      <c r="I69" s="863"/>
      <c r="J69" s="125"/>
      <c r="K69" s="126">
        <f>SUM(K67:K68)</f>
        <v>23.2</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SERVENTES'!F16</f>
        <v>52.833333333333336</v>
      </c>
    </row>
    <row r="73" spans="1:13" s="109" customFormat="1" ht="12.75">
      <c r="A73" s="409" t="s">
        <v>6</v>
      </c>
      <c r="B73" s="866" t="s">
        <v>212</v>
      </c>
      <c r="C73" s="867"/>
      <c r="D73" s="867"/>
      <c r="E73" s="867"/>
      <c r="F73" s="867"/>
      <c r="G73" s="867"/>
      <c r="H73" s="867"/>
      <c r="I73" s="845">
        <v>0</v>
      </c>
      <c r="J73" s="846"/>
      <c r="K73" s="124">
        <f>MATERIAIS!F224</f>
        <v>247.41666666666666</v>
      </c>
      <c r="L73" s="137"/>
      <c r="M73" s="111"/>
    </row>
    <row r="74" spans="1:13" s="109" customFormat="1" ht="12.75">
      <c r="A74" s="409" t="s">
        <v>10</v>
      </c>
      <c r="B74" s="866" t="s">
        <v>394</v>
      </c>
      <c r="C74" s="867"/>
      <c r="D74" s="867"/>
      <c r="E74" s="867"/>
      <c r="F74" s="867"/>
      <c r="G74" s="867"/>
      <c r="H74" s="867"/>
      <c r="I74" s="845">
        <v>0</v>
      </c>
      <c r="J74" s="846"/>
      <c r="K74" s="124">
        <f>EQUIPAMENTOS!F51</f>
        <v>81.666666666666671</v>
      </c>
      <c r="L74" s="137"/>
      <c r="M74" s="111"/>
    </row>
    <row r="75" spans="1:13" s="109" customFormat="1" ht="12.75">
      <c r="A75" s="847" t="s">
        <v>207</v>
      </c>
      <c r="B75" s="848"/>
      <c r="C75" s="848"/>
      <c r="D75" s="848"/>
      <c r="E75" s="848"/>
      <c r="F75" s="848"/>
      <c r="G75" s="848"/>
      <c r="H75" s="848"/>
      <c r="I75" s="863"/>
      <c r="J75" s="125"/>
      <c r="K75" s="126">
        <f>SUM(K72:K74)</f>
        <v>381.91666666666669</v>
      </c>
    </row>
    <row r="76" spans="1:13" s="109" customFormat="1" ht="12.75">
      <c r="A76" s="850" t="s">
        <v>205</v>
      </c>
      <c r="B76" s="850"/>
      <c r="C76" s="850"/>
      <c r="D76" s="850"/>
      <c r="E76" s="850"/>
      <c r="F76" s="850"/>
      <c r="G76" s="850"/>
      <c r="H76" s="850"/>
      <c r="I76" s="850"/>
      <c r="J76" s="127"/>
      <c r="K76" s="128">
        <f>K5</f>
        <v>0</v>
      </c>
    </row>
    <row r="77" spans="1:13" s="109" customFormat="1" ht="12.75">
      <c r="A77" s="385" t="s">
        <v>4</v>
      </c>
      <c r="B77" s="829" t="s">
        <v>206</v>
      </c>
      <c r="C77" s="829"/>
      <c r="D77" s="829"/>
      <c r="E77" s="829"/>
      <c r="F77" s="829"/>
      <c r="G77" s="829"/>
      <c r="H77" s="829"/>
      <c r="I77" s="829"/>
      <c r="J77" s="138">
        <v>0.4</v>
      </c>
      <c r="K77" s="119">
        <f>J77*K95</f>
        <v>341.29503030303033</v>
      </c>
      <c r="L77" s="139"/>
    </row>
    <row r="78" spans="1:13" s="109" customFormat="1" ht="12.75">
      <c r="A78" s="385" t="s">
        <v>6</v>
      </c>
      <c r="B78" s="829" t="s">
        <v>32</v>
      </c>
      <c r="C78" s="829"/>
      <c r="D78" s="829"/>
      <c r="E78" s="829"/>
      <c r="F78" s="829"/>
      <c r="G78" s="829"/>
      <c r="H78" s="829"/>
      <c r="I78" s="829"/>
      <c r="J78" s="138">
        <v>0.35</v>
      </c>
      <c r="K78" s="119">
        <f>J78*(K95+K77)</f>
        <v>418.08641212121216</v>
      </c>
      <c r="L78" s="139"/>
    </row>
    <row r="79" spans="1:13" s="109" customFormat="1" ht="12.75">
      <c r="A79" s="836" t="s">
        <v>10</v>
      </c>
      <c r="B79" s="852" t="s">
        <v>33</v>
      </c>
      <c r="C79" s="853"/>
      <c r="D79" s="853"/>
      <c r="E79" s="853"/>
      <c r="F79" s="853"/>
      <c r="G79" s="853"/>
      <c r="H79" s="854"/>
      <c r="I79" s="855">
        <f>K95+K77+K78</f>
        <v>1612.6190181818183</v>
      </c>
      <c r="J79" s="856"/>
      <c r="K79" s="140"/>
    </row>
    <row r="80" spans="1:13" s="109" customFormat="1" ht="12.75">
      <c r="A80" s="836"/>
      <c r="B80" s="857" t="s">
        <v>34</v>
      </c>
      <c r="C80" s="858"/>
      <c r="D80" s="858"/>
      <c r="E80" s="859"/>
      <c r="F80" s="384"/>
      <c r="G80" s="384" t="s">
        <v>35</v>
      </c>
      <c r="H80" s="384" t="s">
        <v>653</v>
      </c>
      <c r="I80" s="860"/>
      <c r="J80" s="861"/>
      <c r="K80" s="140"/>
    </row>
    <row r="81" spans="1:11" s="109" customFormat="1" ht="12.75">
      <c r="A81" s="836"/>
      <c r="B81" s="844" t="s">
        <v>36</v>
      </c>
      <c r="C81" s="844"/>
      <c r="D81" s="844"/>
      <c r="E81" s="844"/>
      <c r="F81" s="384" t="s">
        <v>37</v>
      </c>
      <c r="G81" s="575">
        <v>1.72E-3</v>
      </c>
      <c r="H81" s="838">
        <f>SUM(G81:G86)</f>
        <v>2.9699999999999997E-2</v>
      </c>
      <c r="I81" s="839">
        <f t="shared" ref="I81:I86" si="1">ROUND($K$97*G81,2)</f>
        <v>2.86</v>
      </c>
      <c r="J81" s="840"/>
      <c r="K81" s="841">
        <f>SUM(I81:J86)</f>
        <v>49.36</v>
      </c>
    </row>
    <row r="82" spans="1:11" s="109" customFormat="1" ht="12.75">
      <c r="A82" s="836"/>
      <c r="B82" s="844"/>
      <c r="C82" s="844"/>
      <c r="D82" s="844"/>
      <c r="E82" s="844"/>
      <c r="F82" s="384" t="s">
        <v>38</v>
      </c>
      <c r="G82" s="575">
        <v>7.9500000000000005E-3</v>
      </c>
      <c r="H82" s="838"/>
      <c r="I82" s="839">
        <f t="shared" si="1"/>
        <v>13.21</v>
      </c>
      <c r="J82" s="840"/>
      <c r="K82" s="842"/>
    </row>
    <row r="83" spans="1:11" s="109" customFormat="1" ht="12.75">
      <c r="A83" s="836"/>
      <c r="B83" s="844"/>
      <c r="C83" s="844"/>
      <c r="D83" s="844"/>
      <c r="E83" s="844"/>
      <c r="F83" s="384"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33.29</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808.74144242424245</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385" t="s">
        <v>4</v>
      </c>
      <c r="B90" s="829" t="str">
        <f>A7</f>
        <v xml:space="preserve">MÓDULO 01 – Composição da Remuneração </v>
      </c>
      <c r="C90" s="829"/>
      <c r="D90" s="829"/>
      <c r="E90" s="829"/>
      <c r="F90" s="829"/>
      <c r="G90" s="829"/>
      <c r="H90" s="829"/>
      <c r="I90" s="829"/>
      <c r="J90" s="829"/>
      <c r="K90" s="142">
        <f>K11</f>
        <v>173.18181818181816</v>
      </c>
    </row>
    <row r="91" spans="1:11" s="109" customFormat="1" ht="12.75">
      <c r="A91" s="385" t="s">
        <v>6</v>
      </c>
      <c r="B91" s="829" t="str">
        <f>A12</f>
        <v>MÓDULO 2 – ENCARGOS E BENEFÍCIOS ANUAIS, MENSAIS E DIÁRIOS</v>
      </c>
      <c r="C91" s="829"/>
      <c r="D91" s="829"/>
      <c r="E91" s="829"/>
      <c r="F91" s="829"/>
      <c r="G91" s="829"/>
      <c r="H91" s="829"/>
      <c r="I91" s="829"/>
      <c r="J91" s="829"/>
      <c r="K91" s="142">
        <f>K44</f>
        <v>262.86909090909091</v>
      </c>
    </row>
    <row r="92" spans="1:11" s="109" customFormat="1" ht="12.75">
      <c r="A92" s="385" t="s">
        <v>10</v>
      </c>
      <c r="B92" s="829" t="str">
        <f>A45</f>
        <v>MÓDULO 3 – PROVISÃO PARA RESCISÃO</v>
      </c>
      <c r="C92" s="829"/>
      <c r="D92" s="829"/>
      <c r="E92" s="829"/>
      <c r="F92" s="829"/>
      <c r="G92" s="829"/>
      <c r="H92" s="829"/>
      <c r="I92" s="829"/>
      <c r="J92" s="829"/>
      <c r="K92" s="142">
        <f>K51</f>
        <v>12.07</v>
      </c>
    </row>
    <row r="93" spans="1:11" s="109" customFormat="1" ht="12.75">
      <c r="A93" s="385" t="s">
        <v>12</v>
      </c>
      <c r="B93" s="829" t="str">
        <f>A52</f>
        <v>MÓDULO 4 – CUSTO DE REPOSIÇÃO DO PROFISSIONAL AUSENTE</v>
      </c>
      <c r="C93" s="829"/>
      <c r="D93" s="829"/>
      <c r="E93" s="829"/>
      <c r="F93" s="829"/>
      <c r="G93" s="829"/>
      <c r="H93" s="829"/>
      <c r="I93" s="829"/>
      <c r="J93" s="829"/>
      <c r="K93" s="142">
        <f>K62</f>
        <v>23.2</v>
      </c>
    </row>
    <row r="94" spans="1:11" s="109" customFormat="1" ht="12.75">
      <c r="A94" s="385" t="s">
        <v>14</v>
      </c>
      <c r="B94" s="829" t="str">
        <f>A71</f>
        <v>MÓDULO 5 – INSUMOS DIVERSOS</v>
      </c>
      <c r="C94" s="829"/>
      <c r="D94" s="829"/>
      <c r="E94" s="829"/>
      <c r="F94" s="829"/>
      <c r="G94" s="829"/>
      <c r="H94" s="829"/>
      <c r="I94" s="829"/>
      <c r="J94" s="829"/>
      <c r="K94" s="142">
        <f>K75</f>
        <v>381.91666666666669</v>
      </c>
    </row>
    <row r="95" spans="1:11" s="109" customFormat="1" ht="12.75">
      <c r="A95" s="830" t="s">
        <v>209</v>
      </c>
      <c r="B95" s="830"/>
      <c r="C95" s="830"/>
      <c r="D95" s="830"/>
      <c r="E95" s="830"/>
      <c r="F95" s="830"/>
      <c r="G95" s="830"/>
      <c r="H95" s="830"/>
      <c r="I95" s="830"/>
      <c r="J95" s="830"/>
      <c r="K95" s="107">
        <f>SUM(K90:K94)</f>
        <v>853.23757575757577</v>
      </c>
    </row>
    <row r="96" spans="1:11" s="109" customFormat="1" ht="12.75">
      <c r="A96" s="385" t="s">
        <v>14</v>
      </c>
      <c r="B96" s="829" t="s">
        <v>46</v>
      </c>
      <c r="C96" s="829"/>
      <c r="D96" s="829"/>
      <c r="E96" s="829"/>
      <c r="F96" s="829"/>
      <c r="G96" s="829"/>
      <c r="H96" s="829"/>
      <c r="I96" s="829"/>
      <c r="J96" s="829"/>
      <c r="K96" s="108">
        <f>K97-K95</f>
        <v>808.74242424242425</v>
      </c>
    </row>
    <row r="97" spans="1:15" s="109" customFormat="1" ht="12.75">
      <c r="A97" s="831" t="s">
        <v>47</v>
      </c>
      <c r="B97" s="831"/>
      <c r="C97" s="831"/>
      <c r="D97" s="831"/>
      <c r="E97" s="831"/>
      <c r="F97" s="831"/>
      <c r="G97" s="831"/>
      <c r="H97" s="831"/>
      <c r="I97" s="831"/>
      <c r="J97" s="831"/>
      <c r="K97" s="143">
        <f>ROUND(I79/(1-$H$81),2)</f>
        <v>1661.98</v>
      </c>
    </row>
    <row r="98" spans="1:15" s="109" customFormat="1" ht="12.75">
      <c r="A98" s="832" t="s">
        <v>214</v>
      </c>
      <c r="B98" s="821"/>
      <c r="C98" s="821"/>
      <c r="D98" s="821"/>
      <c r="E98" s="821"/>
      <c r="F98" s="821"/>
      <c r="G98" s="821"/>
      <c r="H98" s="821"/>
      <c r="I98" s="155"/>
      <c r="J98" s="386">
        <v>1</v>
      </c>
      <c r="K98" s="156">
        <f>K97</f>
        <v>1661.98</v>
      </c>
    </row>
    <row r="99" spans="1:15" s="109" customFormat="1" ht="13.5" thickBot="1">
      <c r="A99" s="905" t="s">
        <v>217</v>
      </c>
      <c r="B99" s="905"/>
      <c r="C99" s="905"/>
      <c r="D99" s="905"/>
      <c r="E99" s="816"/>
      <c r="F99" s="816"/>
      <c r="G99" s="816"/>
      <c r="H99" s="816"/>
      <c r="I99" s="905"/>
      <c r="J99" s="905"/>
      <c r="K99" s="157">
        <f>K98*12</f>
        <v>19943.760000000002</v>
      </c>
    </row>
    <row r="100" spans="1:15" s="109" customFormat="1" ht="13.5" thickBot="1">
      <c r="A100" s="833" t="s">
        <v>529</v>
      </c>
      <c r="B100" s="834"/>
      <c r="C100" s="834"/>
      <c r="D100" s="834"/>
      <c r="E100" s="834"/>
      <c r="F100" s="834"/>
      <c r="G100" s="834"/>
      <c r="H100" s="834"/>
      <c r="I100" s="834"/>
      <c r="J100" s="835"/>
      <c r="K100" s="514">
        <f>(K99/12)</f>
        <v>1661.9800000000002</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0.4</v>
      </c>
      <c r="M103" s="304"/>
      <c r="N103" s="304"/>
      <c r="O103" s="304"/>
    </row>
    <row r="104" spans="1:15" ht="15" customHeight="1">
      <c r="G104" s="161"/>
      <c r="H104" s="823" t="s">
        <v>32</v>
      </c>
      <c r="I104" s="824"/>
      <c r="J104" s="825"/>
      <c r="K104" s="163">
        <f>J78</f>
        <v>0.35</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0.94785118004740787</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B32:G32"/>
    <mergeCell ref="B33:I33"/>
    <mergeCell ref="B22:I22"/>
    <mergeCell ref="B23:I23"/>
    <mergeCell ref="B24:I24"/>
    <mergeCell ref="B25:C25"/>
    <mergeCell ref="D25:E25"/>
    <mergeCell ref="F25:I25"/>
    <mergeCell ref="A29:H29"/>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66:J66"/>
    <mergeCell ref="B67:I67"/>
    <mergeCell ref="B68:I68"/>
    <mergeCell ref="A69:I69"/>
    <mergeCell ref="A70:K70"/>
    <mergeCell ref="A71:I71"/>
    <mergeCell ref="B73:H73"/>
    <mergeCell ref="B74:H74"/>
    <mergeCell ref="I73:J73"/>
    <mergeCell ref="I74:J74"/>
    <mergeCell ref="A75:I75"/>
    <mergeCell ref="A76:I76"/>
    <mergeCell ref="B77:I77"/>
    <mergeCell ref="B78:I78"/>
    <mergeCell ref="A79:A86"/>
    <mergeCell ref="B79:H79"/>
    <mergeCell ref="I79:J79"/>
    <mergeCell ref="B80:E80"/>
    <mergeCell ref="I80:J80"/>
    <mergeCell ref="B81:E83"/>
    <mergeCell ref="A87:J87"/>
    <mergeCell ref="A88:K88"/>
    <mergeCell ref="A89:J89"/>
    <mergeCell ref="B90:J90"/>
    <mergeCell ref="B91:J91"/>
    <mergeCell ref="B92:J92"/>
    <mergeCell ref="H81:H86"/>
    <mergeCell ref="I81:J81"/>
    <mergeCell ref="K81:K86"/>
    <mergeCell ref="I82:J82"/>
    <mergeCell ref="I83:J83"/>
    <mergeCell ref="B84:E85"/>
    <mergeCell ref="I84:J84"/>
    <mergeCell ref="I85:J85"/>
    <mergeCell ref="B86:E86"/>
    <mergeCell ref="I86:J86"/>
    <mergeCell ref="A99:J99"/>
    <mergeCell ref="H101:K101"/>
    <mergeCell ref="H102:J102"/>
    <mergeCell ref="H104:J104"/>
    <mergeCell ref="H106:J106"/>
    <mergeCell ref="B93:J93"/>
    <mergeCell ref="B94:J94"/>
    <mergeCell ref="A95:J95"/>
    <mergeCell ref="B96:J96"/>
    <mergeCell ref="A97:J97"/>
    <mergeCell ref="A98:H98"/>
    <mergeCell ref="A100:J100"/>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CCFF"/>
    <pageSetUpPr fitToPage="1"/>
  </sheetPr>
  <dimension ref="A1:O116"/>
  <sheetViews>
    <sheetView view="pageBreakPreview" zoomScaleNormal="100" zoomScaleSheetLayoutView="100" workbookViewId="0">
      <selection activeCell="I79" sqref="I79:J79"/>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535</v>
      </c>
      <c r="B5" s="897"/>
      <c r="C5" s="897"/>
      <c r="D5" s="897"/>
      <c r="E5" s="897"/>
      <c r="F5" s="897"/>
      <c r="G5" s="897"/>
      <c r="H5" s="897"/>
      <c r="I5" s="898" t="s">
        <v>536</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409" t="s">
        <v>4</v>
      </c>
      <c r="B8" s="890" t="s">
        <v>397</v>
      </c>
      <c r="C8" s="890"/>
      <c r="D8" s="890"/>
      <c r="E8" s="890"/>
      <c r="F8" s="890"/>
      <c r="G8" s="890"/>
      <c r="H8" s="890"/>
      <c r="I8" s="890"/>
      <c r="J8" s="890"/>
      <c r="K8" s="333">
        <f>K7/220*6*5</f>
        <v>173.18181818181816</v>
      </c>
      <c r="L8" s="326"/>
      <c r="M8" s="111"/>
    </row>
    <row r="9" spans="1:15">
      <c r="A9" s="409" t="s">
        <v>6</v>
      </c>
      <c r="B9" s="374" t="s">
        <v>433</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173.18181818181816</v>
      </c>
      <c r="L10" s="113"/>
    </row>
    <row r="11" spans="1:15">
      <c r="A11" s="892" t="s">
        <v>208</v>
      </c>
      <c r="B11" s="892"/>
      <c r="C11" s="892"/>
      <c r="D11" s="892"/>
      <c r="E11" s="892"/>
      <c r="F11" s="892"/>
      <c r="G11" s="892"/>
      <c r="H11" s="892"/>
      <c r="I11" s="892"/>
      <c r="J11" s="892"/>
      <c r="K11" s="114">
        <f>SUM(K10:K10)</f>
        <v>173.18181818181816</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14.43</v>
      </c>
    </row>
    <row r="15" spans="1:15">
      <c r="A15" s="409" t="s">
        <v>6</v>
      </c>
      <c r="B15" s="857" t="s">
        <v>164</v>
      </c>
      <c r="C15" s="858"/>
      <c r="D15" s="858"/>
      <c r="E15" s="858"/>
      <c r="F15" s="858"/>
      <c r="G15" s="858"/>
      <c r="H15" s="858"/>
      <c r="I15" s="859"/>
      <c r="J15" s="118">
        <f>J54*33.33%</f>
        <v>2.7774999999999998E-2</v>
      </c>
      <c r="K15" s="119">
        <f>ROUND($J15*K$11,2)</f>
        <v>4.8099999999999996</v>
      </c>
      <c r="M15" s="109" t="s">
        <v>233</v>
      </c>
    </row>
    <row r="16" spans="1:15">
      <c r="A16" s="409" t="s">
        <v>10</v>
      </c>
      <c r="B16" s="411" t="s">
        <v>213</v>
      </c>
      <c r="C16" s="411"/>
      <c r="D16" s="411"/>
      <c r="E16" s="411"/>
      <c r="F16" s="411"/>
      <c r="G16" s="411"/>
      <c r="H16" s="411"/>
      <c r="I16" s="412"/>
      <c r="J16" s="118">
        <f>SUM(J14:J15)</f>
        <v>0.11107499999999999</v>
      </c>
      <c r="K16" s="112">
        <f>SUM(K14:K15)</f>
        <v>19.239999999999998</v>
      </c>
    </row>
    <row r="17" spans="1:15">
      <c r="A17" s="409" t="s">
        <v>12</v>
      </c>
      <c r="B17" s="328" t="s">
        <v>398</v>
      </c>
      <c r="C17" s="328"/>
      <c r="D17" s="328"/>
      <c r="E17" s="328"/>
      <c r="F17" s="328"/>
      <c r="G17" s="328"/>
      <c r="H17" s="328"/>
      <c r="I17" s="329"/>
      <c r="J17" s="330">
        <f>J16*J28</f>
        <v>3.2767125000000001E-2</v>
      </c>
      <c r="K17" s="331">
        <f>ROUND($J17*K$11,2)</f>
        <v>5.67</v>
      </c>
    </row>
    <row r="18" spans="1:15">
      <c r="A18" s="847" t="s">
        <v>165</v>
      </c>
      <c r="B18" s="848"/>
      <c r="C18" s="848"/>
      <c r="D18" s="848"/>
      <c r="E18" s="848"/>
      <c r="F18" s="848"/>
      <c r="G18" s="848"/>
      <c r="H18" s="848"/>
      <c r="I18" s="863"/>
      <c r="J18" s="125">
        <f>SUM(J16:J17)</f>
        <v>0.14384212499999999</v>
      </c>
      <c r="K18" s="126">
        <f>SUM(K16:K17)</f>
        <v>24.909999999999997</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34.64</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13.85</v>
      </c>
      <c r="L25" s="121"/>
    </row>
    <row r="26" spans="1:15">
      <c r="A26" s="409" t="s">
        <v>15</v>
      </c>
      <c r="B26" s="844" t="s">
        <v>22</v>
      </c>
      <c r="C26" s="844"/>
      <c r="D26" s="844"/>
      <c r="E26" s="844"/>
      <c r="F26" s="410" t="s">
        <v>23</v>
      </c>
      <c r="G26" s="122">
        <v>0.03</v>
      </c>
      <c r="H26" s="410" t="s">
        <v>24</v>
      </c>
      <c r="I26" s="303">
        <v>0.5</v>
      </c>
      <c r="J26" s="104">
        <f>G26*I26</f>
        <v>1.4999999999999999E-2</v>
      </c>
      <c r="K26" s="119">
        <f t="shared" si="0"/>
        <v>2.6</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51.09</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4</v>
      </c>
      <c r="J30" s="402">
        <v>13.8</v>
      </c>
      <c r="K30" s="123">
        <f>(J30*I30)*80%</f>
        <v>44.160000000000004</v>
      </c>
    </row>
    <row r="31" spans="1:15">
      <c r="A31" s="409" t="s">
        <v>434</v>
      </c>
      <c r="B31" s="150" t="s">
        <v>435</v>
      </c>
      <c r="C31" s="151"/>
      <c r="D31" s="151"/>
      <c r="E31" s="151"/>
      <c r="F31" s="151"/>
      <c r="G31" s="151"/>
      <c r="H31" s="151"/>
      <c r="I31" s="405">
        <v>0</v>
      </c>
      <c r="J31" s="402">
        <v>0</v>
      </c>
      <c r="K31" s="123">
        <f>(J31*I31)*80%</f>
        <v>0</v>
      </c>
    </row>
    <row r="32" spans="1:15" ht="15.75" thickBot="1">
      <c r="A32" s="409" t="s">
        <v>6</v>
      </c>
      <c r="B32" s="876" t="s">
        <v>218</v>
      </c>
      <c r="C32" s="877"/>
      <c r="D32" s="877"/>
      <c r="E32" s="877"/>
      <c r="F32" s="877"/>
      <c r="G32" s="877"/>
      <c r="H32" s="152"/>
      <c r="I32" s="406">
        <v>8</v>
      </c>
      <c r="J32" s="403">
        <v>3</v>
      </c>
      <c r="K32" s="123">
        <f>I32*2*J32</f>
        <v>48</v>
      </c>
    </row>
    <row r="33" spans="1:11">
      <c r="A33" s="409" t="s">
        <v>10</v>
      </c>
      <c r="B33" s="876" t="s">
        <v>219</v>
      </c>
      <c r="C33" s="877"/>
      <c r="D33" s="877"/>
      <c r="E33" s="877"/>
      <c r="F33" s="877"/>
      <c r="G33" s="877"/>
      <c r="H33" s="877"/>
      <c r="I33" s="883"/>
      <c r="J33" s="153">
        <v>-0.06</v>
      </c>
      <c r="K33" s="154">
        <f>K8*J33</f>
        <v>-10.390909090909089</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v>0</v>
      </c>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185.26909090909089</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24.909999999999997</v>
      </c>
    </row>
    <row r="42" spans="1:11" s="109" customFormat="1" ht="12.75">
      <c r="A42" s="409" t="s">
        <v>175</v>
      </c>
      <c r="B42" s="857" t="s">
        <v>178</v>
      </c>
      <c r="C42" s="858"/>
      <c r="D42" s="858"/>
      <c r="E42" s="858"/>
      <c r="F42" s="858"/>
      <c r="G42" s="858"/>
      <c r="H42" s="858"/>
      <c r="I42" s="859"/>
      <c r="J42" s="408"/>
      <c r="K42" s="112">
        <f>K28</f>
        <v>51.09</v>
      </c>
    </row>
    <row r="43" spans="1:11" s="109" customFormat="1" ht="12.75">
      <c r="A43" s="409" t="s">
        <v>176</v>
      </c>
      <c r="B43" s="857" t="s">
        <v>180</v>
      </c>
      <c r="C43" s="858"/>
      <c r="D43" s="858"/>
      <c r="E43" s="858"/>
      <c r="F43" s="858"/>
      <c r="G43" s="858"/>
      <c r="H43" s="858"/>
      <c r="I43" s="859"/>
      <c r="J43" s="408"/>
      <c r="K43" s="112">
        <f>K39</f>
        <v>185.26909090909089</v>
      </c>
    </row>
    <row r="44" spans="1:11" s="109" customFormat="1" ht="12.75">
      <c r="A44" s="847" t="s">
        <v>179</v>
      </c>
      <c r="B44" s="848"/>
      <c r="C44" s="848"/>
      <c r="D44" s="848"/>
      <c r="E44" s="848"/>
      <c r="F44" s="848"/>
      <c r="G44" s="848"/>
      <c r="H44" s="848"/>
      <c r="I44" s="863"/>
      <c r="J44" s="125"/>
      <c r="K44" s="126">
        <f>SUM(K41:K43)</f>
        <v>261.26909090909089</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0.72</v>
      </c>
    </row>
    <row r="47" spans="1:11" s="109" customFormat="1" ht="12.75">
      <c r="A47" s="409" t="s">
        <v>6</v>
      </c>
      <c r="B47" s="844" t="s">
        <v>27</v>
      </c>
      <c r="C47" s="844"/>
      <c r="D47" s="844"/>
      <c r="E47" s="844"/>
      <c r="F47" s="844"/>
      <c r="G47" s="844"/>
      <c r="H47" s="844"/>
      <c r="I47" s="844"/>
      <c r="J47" s="118">
        <f>J25*J46</f>
        <v>3.3333333333333332E-4</v>
      </c>
      <c r="K47" s="112">
        <f>ROUND(J47*$K$11,2)</f>
        <v>0.06</v>
      </c>
    </row>
    <row r="48" spans="1:11" s="109" customFormat="1" ht="12.75">
      <c r="A48" s="409" t="s">
        <v>10</v>
      </c>
      <c r="B48" s="844" t="s">
        <v>184</v>
      </c>
      <c r="C48" s="844"/>
      <c r="D48" s="844"/>
      <c r="E48" s="844"/>
      <c r="F48" s="844"/>
      <c r="G48" s="844"/>
      <c r="H48" s="844"/>
      <c r="I48" s="844"/>
      <c r="J48" s="118">
        <f>(1/30)/12*7</f>
        <v>1.9444444444444445E-2</v>
      </c>
      <c r="K48" s="112">
        <f>ROUND(J48*$K$11,2)</f>
        <v>3.37</v>
      </c>
    </row>
    <row r="49" spans="1:15" s="109" customFormat="1" ht="12.75">
      <c r="A49" s="409" t="s">
        <v>12</v>
      </c>
      <c r="B49" s="844" t="s">
        <v>183</v>
      </c>
      <c r="C49" s="844"/>
      <c r="D49" s="844"/>
      <c r="E49" s="844"/>
      <c r="F49" s="844"/>
      <c r="G49" s="844"/>
      <c r="H49" s="844"/>
      <c r="I49" s="844"/>
      <c r="J49" s="118">
        <f>J28*J48</f>
        <v>5.736111111111112E-3</v>
      </c>
      <c r="K49" s="112">
        <f>ROUND(J49*$K$11,2)</f>
        <v>0.99</v>
      </c>
    </row>
    <row r="50" spans="1:15" s="109" customFormat="1" ht="12.75">
      <c r="A50" s="324" t="s">
        <v>14</v>
      </c>
      <c r="B50" s="411" t="s">
        <v>399</v>
      </c>
      <c r="C50" s="411"/>
      <c r="D50" s="411"/>
      <c r="E50" s="411"/>
      <c r="F50" s="411"/>
      <c r="G50" s="411"/>
      <c r="H50" s="411"/>
      <c r="I50" s="412"/>
      <c r="J50" s="118">
        <f>0.5*J25</f>
        <v>0.04</v>
      </c>
      <c r="K50" s="112">
        <f>ROUND(J50*$K$11,2)</f>
        <v>6.93</v>
      </c>
    </row>
    <row r="51" spans="1:15" s="109" customFormat="1" ht="12.75">
      <c r="A51" s="847" t="s">
        <v>181</v>
      </c>
      <c r="B51" s="848"/>
      <c r="C51" s="848"/>
      <c r="D51" s="848"/>
      <c r="E51" s="848"/>
      <c r="F51" s="848"/>
      <c r="G51" s="848"/>
      <c r="H51" s="848"/>
      <c r="I51" s="863"/>
      <c r="J51" s="125">
        <f>SUM(J46:J50)</f>
        <v>6.9680555555555551E-2</v>
      </c>
      <c r="K51" s="126">
        <f>SUM(K46:K50)</f>
        <v>12.07</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14.43</v>
      </c>
    </row>
    <row r="55" spans="1:15">
      <c r="A55" s="409" t="s">
        <v>6</v>
      </c>
      <c r="B55" s="844" t="s">
        <v>188</v>
      </c>
      <c r="C55" s="844"/>
      <c r="D55" s="844"/>
      <c r="E55" s="844"/>
      <c r="F55" s="874" t="s">
        <v>29</v>
      </c>
      <c r="G55" s="874"/>
      <c r="H55" s="874"/>
      <c r="I55" s="131">
        <v>6</v>
      </c>
      <c r="J55" s="104">
        <f>I55/30/12</f>
        <v>1.6666666666666666E-2</v>
      </c>
      <c r="K55" s="112">
        <f>ROUND(J55*$K$11,2)</f>
        <v>2.89</v>
      </c>
    </row>
    <row r="56" spans="1:15">
      <c r="A56" s="409" t="s">
        <v>10</v>
      </c>
      <c r="B56" s="844" t="s">
        <v>30</v>
      </c>
      <c r="C56" s="844"/>
      <c r="D56" s="844"/>
      <c r="E56" s="844"/>
      <c r="F56" s="874" t="s">
        <v>28</v>
      </c>
      <c r="G56" s="874"/>
      <c r="H56" s="132">
        <v>1.4999999999999999E-2</v>
      </c>
      <c r="I56" s="133">
        <v>5</v>
      </c>
      <c r="J56" s="104">
        <f>I56/30/12*H56</f>
        <v>2.0833333333333332E-4</v>
      </c>
      <c r="K56" s="112">
        <f>ROUND(J56*$K$11,2)</f>
        <v>0.04</v>
      </c>
    </row>
    <row r="57" spans="1:15">
      <c r="A57" s="409" t="s">
        <v>12</v>
      </c>
      <c r="B57" s="844" t="s">
        <v>189</v>
      </c>
      <c r="C57" s="844"/>
      <c r="D57" s="844"/>
      <c r="E57" s="131"/>
      <c r="F57" s="874" t="s">
        <v>28</v>
      </c>
      <c r="G57" s="874"/>
      <c r="H57" s="132">
        <v>8.0000000000000002E-3</v>
      </c>
      <c r="I57" s="134">
        <v>20</v>
      </c>
      <c r="J57" s="104">
        <f>I57/30/12*H57</f>
        <v>4.4444444444444441E-4</v>
      </c>
      <c r="K57" s="112">
        <f>ROUND(J57*$K$11,2)</f>
        <v>0.08</v>
      </c>
    </row>
    <row r="58" spans="1:15">
      <c r="A58" s="409" t="s">
        <v>14</v>
      </c>
      <c r="B58" s="844" t="s">
        <v>190</v>
      </c>
      <c r="C58" s="844"/>
      <c r="D58" s="844"/>
      <c r="E58" s="131"/>
      <c r="F58" s="875"/>
      <c r="G58" s="874"/>
      <c r="H58" s="132">
        <v>0.1</v>
      </c>
      <c r="I58" s="134">
        <v>10</v>
      </c>
      <c r="J58" s="104">
        <f>I58/30/12*H58</f>
        <v>2.7777777777777779E-3</v>
      </c>
      <c r="K58" s="112">
        <f>ROUND(J58*$K$11,2)</f>
        <v>0.48</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17.919999999999998</v>
      </c>
    </row>
    <row r="61" spans="1:15">
      <c r="A61" s="409" t="s">
        <v>12</v>
      </c>
      <c r="B61" s="328" t="s">
        <v>215</v>
      </c>
      <c r="C61" s="328"/>
      <c r="D61" s="328"/>
      <c r="E61" s="328"/>
      <c r="F61" s="328"/>
      <c r="G61" s="328"/>
      <c r="H61" s="328"/>
      <c r="I61" s="329"/>
      <c r="J61" s="332">
        <f>J60*J28</f>
        <v>3.0512013888888894E-2</v>
      </c>
      <c r="K61" s="327">
        <f>ROUND(J61*$K$11,2)</f>
        <v>5.28</v>
      </c>
    </row>
    <row r="62" spans="1:15">
      <c r="A62" s="847" t="s">
        <v>192</v>
      </c>
      <c r="B62" s="848"/>
      <c r="C62" s="848"/>
      <c r="D62" s="848"/>
      <c r="E62" s="848"/>
      <c r="F62" s="848"/>
      <c r="G62" s="848"/>
      <c r="H62" s="848"/>
      <c r="I62" s="863"/>
      <c r="J62" s="148">
        <f>SUM(J60:J61)</f>
        <v>0.13394256944444444</v>
      </c>
      <c r="K62" s="126">
        <f>SUM(K60:K61)</f>
        <v>23.2</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23.2</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23.2</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SERVENTES'!F16</f>
        <v>52.833333333333336</v>
      </c>
    </row>
    <row r="73" spans="1:13" s="109" customFormat="1" ht="12.75">
      <c r="A73" s="409" t="s">
        <v>6</v>
      </c>
      <c r="B73" s="866" t="s">
        <v>212</v>
      </c>
      <c r="C73" s="867"/>
      <c r="D73" s="867"/>
      <c r="E73" s="867"/>
      <c r="F73" s="867"/>
      <c r="G73" s="867"/>
      <c r="H73" s="867"/>
      <c r="I73" s="845">
        <v>0</v>
      </c>
      <c r="J73" s="846"/>
      <c r="K73" s="124">
        <f>MATERIAIS!G224</f>
        <v>112.75</v>
      </c>
      <c r="L73" s="137"/>
      <c r="M73" s="111"/>
    </row>
    <row r="74" spans="1:13" s="109" customFormat="1" ht="12.75">
      <c r="A74" s="409" t="s">
        <v>10</v>
      </c>
      <c r="B74" s="908" t="s">
        <v>394</v>
      </c>
      <c r="C74" s="909"/>
      <c r="D74" s="909"/>
      <c r="E74" s="909"/>
      <c r="F74" s="909"/>
      <c r="G74" s="909"/>
      <c r="H74" s="909"/>
      <c r="I74" s="845">
        <v>0</v>
      </c>
      <c r="J74" s="846"/>
      <c r="K74" s="124">
        <f>EQUIPAMENTOS!G51</f>
        <v>21.666666666666668</v>
      </c>
      <c r="L74" s="137"/>
      <c r="M74" s="111"/>
    </row>
    <row r="75" spans="1:13" s="109" customFormat="1" ht="12.75">
      <c r="A75" s="847" t="s">
        <v>207</v>
      </c>
      <c r="B75" s="848"/>
      <c r="C75" s="848"/>
      <c r="D75" s="848"/>
      <c r="E75" s="848"/>
      <c r="F75" s="848"/>
      <c r="G75" s="848"/>
      <c r="H75" s="848"/>
      <c r="I75" s="863"/>
      <c r="J75" s="125"/>
      <c r="K75" s="126">
        <f>SUM(K72:K74)</f>
        <v>187.25</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0.6</v>
      </c>
      <c r="K77" s="119">
        <f>J77*K95</f>
        <v>394.18254545454539</v>
      </c>
      <c r="L77" s="139"/>
    </row>
    <row r="78" spans="1:13" s="109" customFormat="1" ht="12.75">
      <c r="A78" s="409" t="s">
        <v>6</v>
      </c>
      <c r="B78" s="829" t="s">
        <v>32</v>
      </c>
      <c r="C78" s="829"/>
      <c r="D78" s="829"/>
      <c r="E78" s="829"/>
      <c r="F78" s="829"/>
      <c r="G78" s="829"/>
      <c r="H78" s="829"/>
      <c r="I78" s="829"/>
      <c r="J78" s="138">
        <v>0.55000000000000004</v>
      </c>
      <c r="K78" s="119">
        <f>J78*(K95+K77)</f>
        <v>578.13440000000003</v>
      </c>
      <c r="L78" s="139"/>
    </row>
    <row r="79" spans="1:13" s="109" customFormat="1" ht="12.75">
      <c r="A79" s="836" t="s">
        <v>10</v>
      </c>
      <c r="B79" s="852" t="s">
        <v>33</v>
      </c>
      <c r="C79" s="853"/>
      <c r="D79" s="853"/>
      <c r="E79" s="853"/>
      <c r="F79" s="853"/>
      <c r="G79" s="853"/>
      <c r="H79" s="854"/>
      <c r="I79" s="855">
        <f>K95+K77+K78</f>
        <v>1629.2878545454546</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2.89</v>
      </c>
      <c r="J81" s="840"/>
      <c r="K81" s="841">
        <f>SUM(I81:J86)</f>
        <v>49.870000000000005</v>
      </c>
    </row>
    <row r="82" spans="1:11" s="109" customFormat="1" ht="12.75">
      <c r="A82" s="836"/>
      <c r="B82" s="844"/>
      <c r="C82" s="844"/>
      <c r="D82" s="844"/>
      <c r="E82" s="844"/>
      <c r="F82" s="413" t="s">
        <v>38</v>
      </c>
      <c r="G82" s="575">
        <v>7.9500000000000005E-3</v>
      </c>
      <c r="H82" s="838"/>
      <c r="I82" s="839">
        <f t="shared" si="1"/>
        <v>13.35</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33.630000000000003</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1022.1869454545454</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173.18181818181816</v>
      </c>
    </row>
    <row r="91" spans="1:11" s="109" customFormat="1" ht="12.75">
      <c r="A91" s="409" t="s">
        <v>6</v>
      </c>
      <c r="B91" s="829" t="str">
        <f>A12</f>
        <v>MÓDULO 2 – ENCARGOS E BENEFÍCIOS ANUAIS, MENSAIS E DIÁRIOS</v>
      </c>
      <c r="C91" s="829"/>
      <c r="D91" s="829"/>
      <c r="E91" s="829"/>
      <c r="F91" s="829"/>
      <c r="G91" s="829"/>
      <c r="H91" s="829"/>
      <c r="I91" s="829"/>
      <c r="J91" s="829"/>
      <c r="K91" s="142">
        <f>K44</f>
        <v>261.26909090909089</v>
      </c>
    </row>
    <row r="92" spans="1:11" s="109" customFormat="1" ht="12.75">
      <c r="A92" s="409" t="s">
        <v>10</v>
      </c>
      <c r="B92" s="829" t="str">
        <f>A45</f>
        <v>MÓDULO 3 – PROVISÃO PARA RESCISÃO</v>
      </c>
      <c r="C92" s="829"/>
      <c r="D92" s="829"/>
      <c r="E92" s="829"/>
      <c r="F92" s="829"/>
      <c r="G92" s="829"/>
      <c r="H92" s="829"/>
      <c r="I92" s="829"/>
      <c r="J92" s="829"/>
      <c r="K92" s="142">
        <f>K51</f>
        <v>12.07</v>
      </c>
    </row>
    <row r="93" spans="1:11" s="109" customFormat="1" ht="12.75">
      <c r="A93" s="409" t="s">
        <v>12</v>
      </c>
      <c r="B93" s="829" t="str">
        <f>A52</f>
        <v>MÓDULO 4 – CUSTO DE REPOSIÇÃO DO PROFISSIONAL AUSENTE</v>
      </c>
      <c r="C93" s="829"/>
      <c r="D93" s="829"/>
      <c r="E93" s="829"/>
      <c r="F93" s="829"/>
      <c r="G93" s="829"/>
      <c r="H93" s="829"/>
      <c r="I93" s="829"/>
      <c r="J93" s="829"/>
      <c r="K93" s="142">
        <f>K62</f>
        <v>23.2</v>
      </c>
    </row>
    <row r="94" spans="1:11" s="109" customFormat="1" ht="12.75">
      <c r="A94" s="409" t="s">
        <v>14</v>
      </c>
      <c r="B94" s="829" t="str">
        <f>A71</f>
        <v>MÓDULO 5 – INSUMOS DIVERSOS</v>
      </c>
      <c r="C94" s="829"/>
      <c r="D94" s="829"/>
      <c r="E94" s="829"/>
      <c r="F94" s="829"/>
      <c r="G94" s="829"/>
      <c r="H94" s="829"/>
      <c r="I94" s="829"/>
      <c r="J94" s="829"/>
      <c r="K94" s="142">
        <f>K75</f>
        <v>187.25</v>
      </c>
    </row>
    <row r="95" spans="1:11" s="109" customFormat="1" ht="12.75">
      <c r="A95" s="830" t="s">
        <v>209</v>
      </c>
      <c r="B95" s="830"/>
      <c r="C95" s="830"/>
      <c r="D95" s="830"/>
      <c r="E95" s="830"/>
      <c r="F95" s="830"/>
      <c r="G95" s="830"/>
      <c r="H95" s="830"/>
      <c r="I95" s="830"/>
      <c r="J95" s="830"/>
      <c r="K95" s="107">
        <f>SUM(K90:K94)</f>
        <v>656.970909090909</v>
      </c>
    </row>
    <row r="96" spans="1:11" s="109" customFormat="1" ht="12.75">
      <c r="A96" s="409" t="s">
        <v>14</v>
      </c>
      <c r="B96" s="829" t="s">
        <v>46</v>
      </c>
      <c r="C96" s="829"/>
      <c r="D96" s="829"/>
      <c r="E96" s="829"/>
      <c r="F96" s="829"/>
      <c r="G96" s="829"/>
      <c r="H96" s="829"/>
      <c r="I96" s="829"/>
      <c r="J96" s="829"/>
      <c r="K96" s="108">
        <f>K97-K95</f>
        <v>1022.1890909090911</v>
      </c>
    </row>
    <row r="97" spans="1:15" s="109" customFormat="1" ht="12.75">
      <c r="A97" s="831" t="s">
        <v>47</v>
      </c>
      <c r="B97" s="831"/>
      <c r="C97" s="831"/>
      <c r="D97" s="831"/>
      <c r="E97" s="831"/>
      <c r="F97" s="831"/>
      <c r="G97" s="831"/>
      <c r="H97" s="831"/>
      <c r="I97" s="831"/>
      <c r="J97" s="831"/>
      <c r="K97" s="143">
        <f>ROUND(I79/(1-$H$81),2)</f>
        <v>1679.16</v>
      </c>
    </row>
    <row r="98" spans="1:15" s="109" customFormat="1" ht="12.75">
      <c r="A98" s="832" t="s">
        <v>214</v>
      </c>
      <c r="B98" s="821"/>
      <c r="C98" s="821"/>
      <c r="D98" s="821"/>
      <c r="E98" s="821"/>
      <c r="F98" s="821"/>
      <c r="G98" s="821"/>
      <c r="H98" s="821"/>
      <c r="I98" s="155"/>
      <c r="J98" s="407">
        <v>1</v>
      </c>
      <c r="K98" s="156">
        <f>K97</f>
        <v>1679.16</v>
      </c>
    </row>
    <row r="99" spans="1:15" s="109" customFormat="1" ht="13.5" thickBot="1">
      <c r="A99" s="905" t="s">
        <v>217</v>
      </c>
      <c r="B99" s="905"/>
      <c r="C99" s="905"/>
      <c r="D99" s="905"/>
      <c r="E99" s="816"/>
      <c r="F99" s="816"/>
      <c r="G99" s="816"/>
      <c r="H99" s="816"/>
      <c r="I99" s="905"/>
      <c r="J99" s="905"/>
      <c r="K99" s="157">
        <f>K98*12</f>
        <v>20149.920000000002</v>
      </c>
    </row>
    <row r="100" spans="1:15" s="109" customFormat="1" ht="13.5" thickBot="1">
      <c r="A100" s="833" t="s">
        <v>529</v>
      </c>
      <c r="B100" s="834"/>
      <c r="C100" s="834"/>
      <c r="D100" s="834"/>
      <c r="E100" s="834"/>
      <c r="F100" s="834"/>
      <c r="G100" s="834"/>
      <c r="H100" s="834"/>
      <c r="I100" s="834"/>
      <c r="J100" s="835"/>
      <c r="K100" s="514">
        <f>(K99/12)</f>
        <v>1679.16</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0.6</v>
      </c>
      <c r="M103" s="304"/>
      <c r="N103" s="304"/>
      <c r="O103" s="304"/>
    </row>
    <row r="104" spans="1:15" ht="15" customHeight="1">
      <c r="G104" s="161"/>
      <c r="H104" s="823" t="s">
        <v>32</v>
      </c>
      <c r="I104" s="824"/>
      <c r="J104" s="825"/>
      <c r="K104" s="163">
        <f>J78</f>
        <v>0.55000000000000004</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1.5559105431309908</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75:I75"/>
    <mergeCell ref="A76:I76"/>
    <mergeCell ref="B77:I77"/>
    <mergeCell ref="A66:J66"/>
    <mergeCell ref="B67:I67"/>
    <mergeCell ref="B68:I68"/>
    <mergeCell ref="A69:I69"/>
    <mergeCell ref="A70:K70"/>
    <mergeCell ref="A71:I71"/>
    <mergeCell ref="B73:H73"/>
    <mergeCell ref="B74:H74"/>
    <mergeCell ref="I73:J73"/>
    <mergeCell ref="I74:J74"/>
    <mergeCell ref="B78:I78"/>
    <mergeCell ref="A79:A86"/>
    <mergeCell ref="B79:H79"/>
    <mergeCell ref="I79:J79"/>
    <mergeCell ref="B80:E80"/>
    <mergeCell ref="I80:J80"/>
    <mergeCell ref="B81:E83"/>
    <mergeCell ref="H81:H86"/>
    <mergeCell ref="I81:J81"/>
    <mergeCell ref="A87:J87"/>
    <mergeCell ref="A88:K88"/>
    <mergeCell ref="A89:J89"/>
    <mergeCell ref="B90:J90"/>
    <mergeCell ref="B91:J91"/>
    <mergeCell ref="B92:J92"/>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CCFF"/>
    <pageSetUpPr fitToPage="1"/>
  </sheetPr>
  <dimension ref="A1:O116"/>
  <sheetViews>
    <sheetView view="pageBreakPreview" zoomScaleNormal="100" zoomScaleSheetLayoutView="100" workbookViewId="0">
      <selection activeCell="I79" sqref="I79:J79"/>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537</v>
      </c>
      <c r="B5" s="897"/>
      <c r="C5" s="897"/>
      <c r="D5" s="897"/>
      <c r="E5" s="897"/>
      <c r="F5" s="897"/>
      <c r="G5" s="897"/>
      <c r="H5" s="897"/>
      <c r="I5" s="898" t="s">
        <v>538</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409" t="s">
        <v>4</v>
      </c>
      <c r="B8" s="890" t="s">
        <v>397</v>
      </c>
      <c r="C8" s="890"/>
      <c r="D8" s="890"/>
      <c r="E8" s="890"/>
      <c r="F8" s="890"/>
      <c r="G8" s="890"/>
      <c r="H8" s="890"/>
      <c r="I8" s="890"/>
      <c r="J8" s="890"/>
      <c r="K8" s="333">
        <f>K7/220*6*5</f>
        <v>173.18181818181816</v>
      </c>
      <c r="L8" s="326"/>
      <c r="M8" s="111"/>
    </row>
    <row r="9" spans="1:15">
      <c r="A9" s="409" t="s">
        <v>6</v>
      </c>
      <c r="B9" s="374" t="s">
        <v>433</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173.18181818181816</v>
      </c>
      <c r="L10" s="113"/>
    </row>
    <row r="11" spans="1:15">
      <c r="A11" s="892" t="s">
        <v>208</v>
      </c>
      <c r="B11" s="892"/>
      <c r="C11" s="892"/>
      <c r="D11" s="892"/>
      <c r="E11" s="892"/>
      <c r="F11" s="892"/>
      <c r="G11" s="892"/>
      <c r="H11" s="892"/>
      <c r="I11" s="892"/>
      <c r="J11" s="892"/>
      <c r="K11" s="114">
        <f>SUM(K10:K10)</f>
        <v>173.18181818181816</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14.43</v>
      </c>
    </row>
    <row r="15" spans="1:15">
      <c r="A15" s="409" t="s">
        <v>6</v>
      </c>
      <c r="B15" s="857" t="s">
        <v>164</v>
      </c>
      <c r="C15" s="858"/>
      <c r="D15" s="858"/>
      <c r="E15" s="858"/>
      <c r="F15" s="858"/>
      <c r="G15" s="858"/>
      <c r="H15" s="858"/>
      <c r="I15" s="859"/>
      <c r="J15" s="118">
        <f>J54*33.33%</f>
        <v>2.7774999999999998E-2</v>
      </c>
      <c r="K15" s="119">
        <f>ROUND($J15*K$11,2)</f>
        <v>4.8099999999999996</v>
      </c>
      <c r="M15" s="109" t="s">
        <v>233</v>
      </c>
    </row>
    <row r="16" spans="1:15">
      <c r="A16" s="409" t="s">
        <v>10</v>
      </c>
      <c r="B16" s="411" t="s">
        <v>213</v>
      </c>
      <c r="C16" s="411"/>
      <c r="D16" s="411"/>
      <c r="E16" s="411"/>
      <c r="F16" s="411"/>
      <c r="G16" s="411"/>
      <c r="H16" s="411"/>
      <c r="I16" s="412"/>
      <c r="J16" s="118">
        <f>SUM(J14:J15)</f>
        <v>0.11107499999999999</v>
      </c>
      <c r="K16" s="112">
        <f>SUM(K14:K15)</f>
        <v>19.239999999999998</v>
      </c>
    </row>
    <row r="17" spans="1:15">
      <c r="A17" s="409" t="s">
        <v>12</v>
      </c>
      <c r="B17" s="328" t="s">
        <v>398</v>
      </c>
      <c r="C17" s="328"/>
      <c r="D17" s="328"/>
      <c r="E17" s="328"/>
      <c r="F17" s="328"/>
      <c r="G17" s="328"/>
      <c r="H17" s="328"/>
      <c r="I17" s="329"/>
      <c r="J17" s="330">
        <f>J16*J28</f>
        <v>3.2767125000000001E-2</v>
      </c>
      <c r="K17" s="331">
        <f>ROUND($J17*K$11,2)</f>
        <v>5.67</v>
      </c>
    </row>
    <row r="18" spans="1:15">
      <c r="A18" s="847" t="s">
        <v>165</v>
      </c>
      <c r="B18" s="848"/>
      <c r="C18" s="848"/>
      <c r="D18" s="848"/>
      <c r="E18" s="848"/>
      <c r="F18" s="848"/>
      <c r="G18" s="848"/>
      <c r="H18" s="848"/>
      <c r="I18" s="863"/>
      <c r="J18" s="125">
        <f>SUM(J16:J17)</f>
        <v>0.14384212499999999</v>
      </c>
      <c r="K18" s="126">
        <f>SUM(K16:K17)</f>
        <v>24.909999999999997</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34.64</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13.85</v>
      </c>
      <c r="L25" s="121"/>
    </row>
    <row r="26" spans="1:15">
      <c r="A26" s="409" t="s">
        <v>15</v>
      </c>
      <c r="B26" s="844" t="s">
        <v>22</v>
      </c>
      <c r="C26" s="844"/>
      <c r="D26" s="844"/>
      <c r="E26" s="844"/>
      <c r="F26" s="410" t="s">
        <v>23</v>
      </c>
      <c r="G26" s="122">
        <v>0.03</v>
      </c>
      <c r="H26" s="410" t="s">
        <v>24</v>
      </c>
      <c r="I26" s="303">
        <v>0.5</v>
      </c>
      <c r="J26" s="104">
        <f>G26*I26</f>
        <v>1.4999999999999999E-2</v>
      </c>
      <c r="K26" s="119">
        <f t="shared" si="0"/>
        <v>2.6</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51.09</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4</v>
      </c>
      <c r="J30" s="402">
        <v>13.8</v>
      </c>
      <c r="K30" s="123">
        <f>(J30*I30)*80%</f>
        <v>44.160000000000004</v>
      </c>
    </row>
    <row r="31" spans="1:15">
      <c r="A31" s="409" t="s">
        <v>434</v>
      </c>
      <c r="B31" s="150" t="s">
        <v>435</v>
      </c>
      <c r="C31" s="151"/>
      <c r="D31" s="151"/>
      <c r="E31" s="151"/>
      <c r="F31" s="151"/>
      <c r="G31" s="151"/>
      <c r="H31" s="151"/>
      <c r="I31" s="405">
        <v>0</v>
      </c>
      <c r="J31" s="402">
        <v>0</v>
      </c>
      <c r="K31" s="123">
        <f>(J31*I31)*80%</f>
        <v>0</v>
      </c>
    </row>
    <row r="32" spans="1:15" ht="15.75" thickBot="1">
      <c r="A32" s="409" t="s">
        <v>6</v>
      </c>
      <c r="B32" s="876" t="s">
        <v>218</v>
      </c>
      <c r="C32" s="877"/>
      <c r="D32" s="877"/>
      <c r="E32" s="877"/>
      <c r="F32" s="877"/>
      <c r="G32" s="877"/>
      <c r="H32" s="152"/>
      <c r="I32" s="406">
        <v>8</v>
      </c>
      <c r="J32" s="403">
        <v>4.2</v>
      </c>
      <c r="K32" s="123">
        <f>I32*2*J32</f>
        <v>67.2</v>
      </c>
    </row>
    <row r="33" spans="1:11">
      <c r="A33" s="409" t="s">
        <v>10</v>
      </c>
      <c r="B33" s="876" t="s">
        <v>219</v>
      </c>
      <c r="C33" s="877"/>
      <c r="D33" s="877"/>
      <c r="E33" s="877"/>
      <c r="F33" s="877"/>
      <c r="G33" s="877"/>
      <c r="H33" s="877"/>
      <c r="I33" s="883"/>
      <c r="J33" s="153">
        <v>-0.06</v>
      </c>
      <c r="K33" s="154">
        <f>K8*J33</f>
        <v>-10.390909090909089</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v>0</v>
      </c>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204.46909090909094</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24.909999999999997</v>
      </c>
    </row>
    <row r="42" spans="1:11" s="109" customFormat="1" ht="12.75">
      <c r="A42" s="409" t="s">
        <v>175</v>
      </c>
      <c r="B42" s="857" t="s">
        <v>178</v>
      </c>
      <c r="C42" s="858"/>
      <c r="D42" s="858"/>
      <c r="E42" s="858"/>
      <c r="F42" s="858"/>
      <c r="G42" s="858"/>
      <c r="H42" s="858"/>
      <c r="I42" s="859"/>
      <c r="J42" s="408"/>
      <c r="K42" s="112">
        <f>K28</f>
        <v>51.09</v>
      </c>
    </row>
    <row r="43" spans="1:11" s="109" customFormat="1" ht="12.75">
      <c r="A43" s="409" t="s">
        <v>176</v>
      </c>
      <c r="B43" s="857" t="s">
        <v>180</v>
      </c>
      <c r="C43" s="858"/>
      <c r="D43" s="858"/>
      <c r="E43" s="858"/>
      <c r="F43" s="858"/>
      <c r="G43" s="858"/>
      <c r="H43" s="858"/>
      <c r="I43" s="859"/>
      <c r="J43" s="408"/>
      <c r="K43" s="112">
        <f>K39</f>
        <v>204.46909090909094</v>
      </c>
    </row>
    <row r="44" spans="1:11" s="109" customFormat="1" ht="12.75">
      <c r="A44" s="847" t="s">
        <v>179</v>
      </c>
      <c r="B44" s="848"/>
      <c r="C44" s="848"/>
      <c r="D44" s="848"/>
      <c r="E44" s="848"/>
      <c r="F44" s="848"/>
      <c r="G44" s="848"/>
      <c r="H44" s="848"/>
      <c r="I44" s="863"/>
      <c r="J44" s="125"/>
      <c r="K44" s="126">
        <f>SUM(K41:K43)</f>
        <v>280.46909090909094</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0.72</v>
      </c>
    </row>
    <row r="47" spans="1:11" s="109" customFormat="1" ht="12.75">
      <c r="A47" s="409" t="s">
        <v>6</v>
      </c>
      <c r="B47" s="844" t="s">
        <v>27</v>
      </c>
      <c r="C47" s="844"/>
      <c r="D47" s="844"/>
      <c r="E47" s="844"/>
      <c r="F47" s="844"/>
      <c r="G47" s="844"/>
      <c r="H47" s="844"/>
      <c r="I47" s="844"/>
      <c r="J47" s="118">
        <f>J25*J46</f>
        <v>3.3333333333333332E-4</v>
      </c>
      <c r="K47" s="112">
        <f>ROUND(J47*$K$11,2)</f>
        <v>0.06</v>
      </c>
    </row>
    <row r="48" spans="1:11" s="109" customFormat="1" ht="12.75">
      <c r="A48" s="409" t="s">
        <v>10</v>
      </c>
      <c r="B48" s="844" t="s">
        <v>184</v>
      </c>
      <c r="C48" s="844"/>
      <c r="D48" s="844"/>
      <c r="E48" s="844"/>
      <c r="F48" s="844"/>
      <c r="G48" s="844"/>
      <c r="H48" s="844"/>
      <c r="I48" s="844"/>
      <c r="J48" s="118">
        <f>(1/30)/12*7</f>
        <v>1.9444444444444445E-2</v>
      </c>
      <c r="K48" s="112">
        <f>ROUND(J48*$K$11,2)</f>
        <v>3.37</v>
      </c>
    </row>
    <row r="49" spans="1:15" s="109" customFormat="1" ht="12.75">
      <c r="A49" s="409" t="s">
        <v>12</v>
      </c>
      <c r="B49" s="844" t="s">
        <v>183</v>
      </c>
      <c r="C49" s="844"/>
      <c r="D49" s="844"/>
      <c r="E49" s="844"/>
      <c r="F49" s="844"/>
      <c r="G49" s="844"/>
      <c r="H49" s="844"/>
      <c r="I49" s="844"/>
      <c r="J49" s="118">
        <f>J28*J48</f>
        <v>5.736111111111112E-3</v>
      </c>
      <c r="K49" s="112">
        <f>ROUND(J49*$K$11,2)</f>
        <v>0.99</v>
      </c>
    </row>
    <row r="50" spans="1:15" s="109" customFormat="1" ht="12.75">
      <c r="A50" s="324" t="s">
        <v>14</v>
      </c>
      <c r="B50" s="411" t="s">
        <v>399</v>
      </c>
      <c r="C50" s="411"/>
      <c r="D50" s="411"/>
      <c r="E50" s="411"/>
      <c r="F50" s="411"/>
      <c r="G50" s="411"/>
      <c r="H50" s="411"/>
      <c r="I50" s="412"/>
      <c r="J50" s="118">
        <f>0.5*J25</f>
        <v>0.04</v>
      </c>
      <c r="K50" s="112">
        <f>ROUND(J50*$K$11,2)</f>
        <v>6.93</v>
      </c>
    </row>
    <row r="51" spans="1:15" s="109" customFormat="1" ht="12.75">
      <c r="A51" s="847" t="s">
        <v>181</v>
      </c>
      <c r="B51" s="848"/>
      <c r="C51" s="848"/>
      <c r="D51" s="848"/>
      <c r="E51" s="848"/>
      <c r="F51" s="848"/>
      <c r="G51" s="848"/>
      <c r="H51" s="848"/>
      <c r="I51" s="863"/>
      <c r="J51" s="125">
        <f>SUM(J46:J50)</f>
        <v>6.9680555555555551E-2</v>
      </c>
      <c r="K51" s="126">
        <f>SUM(K46:K50)</f>
        <v>12.07</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14.43</v>
      </c>
    </row>
    <row r="55" spans="1:15">
      <c r="A55" s="409" t="s">
        <v>6</v>
      </c>
      <c r="B55" s="844" t="s">
        <v>188</v>
      </c>
      <c r="C55" s="844"/>
      <c r="D55" s="844"/>
      <c r="E55" s="844"/>
      <c r="F55" s="874" t="s">
        <v>29</v>
      </c>
      <c r="G55" s="874"/>
      <c r="H55" s="874"/>
      <c r="I55" s="131">
        <v>6</v>
      </c>
      <c r="J55" s="104">
        <f>I55/30/12</f>
        <v>1.6666666666666666E-2</v>
      </c>
      <c r="K55" s="112">
        <f>ROUND(J55*$K$11,2)</f>
        <v>2.89</v>
      </c>
    </row>
    <row r="56" spans="1:15">
      <c r="A56" s="409" t="s">
        <v>10</v>
      </c>
      <c r="B56" s="844" t="s">
        <v>30</v>
      </c>
      <c r="C56" s="844"/>
      <c r="D56" s="844"/>
      <c r="E56" s="844"/>
      <c r="F56" s="874" t="s">
        <v>28</v>
      </c>
      <c r="G56" s="874"/>
      <c r="H56" s="132">
        <v>1.4999999999999999E-2</v>
      </c>
      <c r="I56" s="133">
        <v>5</v>
      </c>
      <c r="J56" s="104">
        <f>I56/30/12*H56</f>
        <v>2.0833333333333332E-4</v>
      </c>
      <c r="K56" s="112">
        <f>ROUND(J56*$K$11,2)</f>
        <v>0.04</v>
      </c>
    </row>
    <row r="57" spans="1:15">
      <c r="A57" s="409" t="s">
        <v>12</v>
      </c>
      <c r="B57" s="844" t="s">
        <v>189</v>
      </c>
      <c r="C57" s="844"/>
      <c r="D57" s="844"/>
      <c r="E57" s="131"/>
      <c r="F57" s="874" t="s">
        <v>28</v>
      </c>
      <c r="G57" s="874"/>
      <c r="H57" s="132">
        <v>8.0000000000000002E-3</v>
      </c>
      <c r="I57" s="134">
        <v>20</v>
      </c>
      <c r="J57" s="104">
        <f>I57/30/12*H57</f>
        <v>4.4444444444444441E-4</v>
      </c>
      <c r="K57" s="112">
        <f>ROUND(J57*$K$11,2)</f>
        <v>0.08</v>
      </c>
    </row>
    <row r="58" spans="1:15">
      <c r="A58" s="409" t="s">
        <v>14</v>
      </c>
      <c r="B58" s="844" t="s">
        <v>190</v>
      </c>
      <c r="C58" s="844"/>
      <c r="D58" s="844"/>
      <c r="E58" s="131"/>
      <c r="F58" s="875"/>
      <c r="G58" s="874"/>
      <c r="H58" s="132">
        <v>0.1</v>
      </c>
      <c r="I58" s="134">
        <v>10</v>
      </c>
      <c r="J58" s="104">
        <f>I58/30/12*H58</f>
        <v>2.7777777777777779E-3</v>
      </c>
      <c r="K58" s="112">
        <f>ROUND(J58*$K$11,2)</f>
        <v>0.48</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17.919999999999998</v>
      </c>
    </row>
    <row r="61" spans="1:15">
      <c r="A61" s="409" t="s">
        <v>12</v>
      </c>
      <c r="B61" s="328" t="s">
        <v>215</v>
      </c>
      <c r="C61" s="328"/>
      <c r="D61" s="328"/>
      <c r="E61" s="328"/>
      <c r="F61" s="328"/>
      <c r="G61" s="328"/>
      <c r="H61" s="328"/>
      <c r="I61" s="329"/>
      <c r="J61" s="332">
        <f>J60*J28</f>
        <v>3.0512013888888894E-2</v>
      </c>
      <c r="K61" s="327">
        <f>ROUND(J61*$K$11,2)</f>
        <v>5.28</v>
      </c>
    </row>
    <row r="62" spans="1:15">
      <c r="A62" s="847" t="s">
        <v>192</v>
      </c>
      <c r="B62" s="848"/>
      <c r="C62" s="848"/>
      <c r="D62" s="848"/>
      <c r="E62" s="848"/>
      <c r="F62" s="848"/>
      <c r="G62" s="848"/>
      <c r="H62" s="848"/>
      <c r="I62" s="863"/>
      <c r="J62" s="148">
        <f>SUM(J60:J61)</f>
        <v>0.13394256944444444</v>
      </c>
      <c r="K62" s="126">
        <f>SUM(K60:K61)</f>
        <v>23.2</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23.2</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23.2</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SERVENTES'!F16</f>
        <v>52.833333333333336</v>
      </c>
    </row>
    <row r="73" spans="1:13" s="109" customFormat="1" ht="12.75">
      <c r="A73" s="409" t="s">
        <v>6</v>
      </c>
      <c r="B73" s="866" t="s">
        <v>212</v>
      </c>
      <c r="C73" s="867"/>
      <c r="D73" s="867"/>
      <c r="E73" s="867"/>
      <c r="F73" s="867"/>
      <c r="G73" s="867"/>
      <c r="H73" s="867"/>
      <c r="I73" s="845">
        <v>0</v>
      </c>
      <c r="J73" s="846"/>
      <c r="K73" s="124">
        <f>MATERIAIS!I224</f>
        <v>130</v>
      </c>
      <c r="L73" s="137"/>
      <c r="M73" s="111"/>
    </row>
    <row r="74" spans="1:13" s="109" customFormat="1" ht="12.75">
      <c r="A74" s="409" t="s">
        <v>10</v>
      </c>
      <c r="B74" s="866" t="s">
        <v>394</v>
      </c>
      <c r="C74" s="867"/>
      <c r="D74" s="867"/>
      <c r="E74" s="867"/>
      <c r="F74" s="867"/>
      <c r="G74" s="867"/>
      <c r="H74" s="867"/>
      <c r="I74" s="845">
        <v>0</v>
      </c>
      <c r="J74" s="846"/>
      <c r="K74" s="124">
        <f>EQUIPAMENTOS!I51</f>
        <v>85.833333333333329</v>
      </c>
      <c r="L74" s="137"/>
      <c r="M74" s="111"/>
    </row>
    <row r="75" spans="1:13" s="109" customFormat="1" ht="12.75">
      <c r="A75" s="847" t="s">
        <v>207</v>
      </c>
      <c r="B75" s="848"/>
      <c r="C75" s="848"/>
      <c r="D75" s="848"/>
      <c r="E75" s="848"/>
      <c r="F75" s="848"/>
      <c r="G75" s="848"/>
      <c r="H75" s="848"/>
      <c r="I75" s="863"/>
      <c r="J75" s="125"/>
      <c r="K75" s="126">
        <f>SUM(K72:K74)</f>
        <v>268.66666666666669</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0.5</v>
      </c>
      <c r="K77" s="119">
        <f>J77*K95</f>
        <v>378.79378787878784</v>
      </c>
      <c r="L77" s="139"/>
    </row>
    <row r="78" spans="1:13" s="109" customFormat="1" ht="12.75">
      <c r="A78" s="409" t="s">
        <v>6</v>
      </c>
      <c r="B78" s="829" t="s">
        <v>32</v>
      </c>
      <c r="C78" s="829"/>
      <c r="D78" s="829"/>
      <c r="E78" s="829"/>
      <c r="F78" s="829"/>
      <c r="G78" s="829"/>
      <c r="H78" s="829"/>
      <c r="I78" s="829"/>
      <c r="J78" s="138">
        <v>0.45</v>
      </c>
      <c r="K78" s="119">
        <f>J78*(K95+K77)</f>
        <v>511.37161363636352</v>
      </c>
      <c r="L78" s="139"/>
    </row>
    <row r="79" spans="1:13" s="109" customFormat="1" ht="12.75">
      <c r="A79" s="836" t="s">
        <v>10</v>
      </c>
      <c r="B79" s="852" t="s">
        <v>33</v>
      </c>
      <c r="C79" s="853"/>
      <c r="D79" s="853"/>
      <c r="E79" s="853"/>
      <c r="F79" s="853"/>
      <c r="G79" s="853"/>
      <c r="H79" s="854"/>
      <c r="I79" s="855">
        <f>K95+K77+K78</f>
        <v>1647.7529772727269</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2.92</v>
      </c>
      <c r="J81" s="840"/>
      <c r="K81" s="841">
        <f>SUM(I81:J86)</f>
        <v>50.43</v>
      </c>
    </row>
    <row r="82" spans="1:11" s="109" customFormat="1" ht="12.75">
      <c r="A82" s="836"/>
      <c r="B82" s="844"/>
      <c r="C82" s="844"/>
      <c r="D82" s="844"/>
      <c r="E82" s="844"/>
      <c r="F82" s="413" t="s">
        <v>38</v>
      </c>
      <c r="G82" s="575">
        <v>7.9500000000000005E-3</v>
      </c>
      <c r="H82" s="838"/>
      <c r="I82" s="839">
        <f t="shared" si="1"/>
        <v>13.5</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34.01</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940.59540151515137</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173.18181818181816</v>
      </c>
    </row>
    <row r="91" spans="1:11" s="109" customFormat="1" ht="12.75">
      <c r="A91" s="409" t="s">
        <v>6</v>
      </c>
      <c r="B91" s="829" t="str">
        <f>A12</f>
        <v>MÓDULO 2 – ENCARGOS E BENEFÍCIOS ANUAIS, MENSAIS E DIÁRIOS</v>
      </c>
      <c r="C91" s="829"/>
      <c r="D91" s="829"/>
      <c r="E91" s="829"/>
      <c r="F91" s="829"/>
      <c r="G91" s="829"/>
      <c r="H91" s="829"/>
      <c r="I91" s="829"/>
      <c r="J91" s="829"/>
      <c r="K91" s="142">
        <f>K44</f>
        <v>280.46909090909094</v>
      </c>
    </row>
    <row r="92" spans="1:11" s="109" customFormat="1" ht="12.75">
      <c r="A92" s="409" t="s">
        <v>10</v>
      </c>
      <c r="B92" s="829" t="str">
        <f>A45</f>
        <v>MÓDULO 3 – PROVISÃO PARA RESCISÃO</v>
      </c>
      <c r="C92" s="829"/>
      <c r="D92" s="829"/>
      <c r="E92" s="829"/>
      <c r="F92" s="829"/>
      <c r="G92" s="829"/>
      <c r="H92" s="829"/>
      <c r="I92" s="829"/>
      <c r="J92" s="829"/>
      <c r="K92" s="142">
        <f>K51</f>
        <v>12.07</v>
      </c>
    </row>
    <row r="93" spans="1:11" s="109" customFormat="1" ht="12.75">
      <c r="A93" s="409" t="s">
        <v>12</v>
      </c>
      <c r="B93" s="829" t="str">
        <f>A52</f>
        <v>MÓDULO 4 – CUSTO DE REPOSIÇÃO DO PROFISSIONAL AUSENTE</v>
      </c>
      <c r="C93" s="829"/>
      <c r="D93" s="829"/>
      <c r="E93" s="829"/>
      <c r="F93" s="829"/>
      <c r="G93" s="829"/>
      <c r="H93" s="829"/>
      <c r="I93" s="829"/>
      <c r="J93" s="829"/>
      <c r="K93" s="142">
        <f>K62</f>
        <v>23.2</v>
      </c>
    </row>
    <row r="94" spans="1:11" s="109" customFormat="1" ht="12.75">
      <c r="A94" s="409" t="s">
        <v>14</v>
      </c>
      <c r="B94" s="829" t="str">
        <f>A71</f>
        <v>MÓDULO 5 – INSUMOS DIVERSOS</v>
      </c>
      <c r="C94" s="829"/>
      <c r="D94" s="829"/>
      <c r="E94" s="829"/>
      <c r="F94" s="829"/>
      <c r="G94" s="829"/>
      <c r="H94" s="829"/>
      <c r="I94" s="829"/>
      <c r="J94" s="829"/>
      <c r="K94" s="142">
        <f>K75</f>
        <v>268.66666666666669</v>
      </c>
    </row>
    <row r="95" spans="1:11" s="109" customFormat="1" ht="12.75">
      <c r="A95" s="830" t="s">
        <v>209</v>
      </c>
      <c r="B95" s="830"/>
      <c r="C95" s="830"/>
      <c r="D95" s="830"/>
      <c r="E95" s="830"/>
      <c r="F95" s="830"/>
      <c r="G95" s="830"/>
      <c r="H95" s="830"/>
      <c r="I95" s="830"/>
      <c r="J95" s="830"/>
      <c r="K95" s="107">
        <f>SUM(K90:K94)</f>
        <v>757.58757575757568</v>
      </c>
    </row>
    <row r="96" spans="1:11" s="109" customFormat="1" ht="12.75">
      <c r="A96" s="409" t="s">
        <v>14</v>
      </c>
      <c r="B96" s="829" t="s">
        <v>46</v>
      </c>
      <c r="C96" s="829"/>
      <c r="D96" s="829"/>
      <c r="E96" s="829"/>
      <c r="F96" s="829"/>
      <c r="G96" s="829"/>
      <c r="H96" s="829"/>
      <c r="I96" s="829"/>
      <c r="J96" s="829"/>
      <c r="K96" s="108">
        <f>K97-K95</f>
        <v>940.60242424242438</v>
      </c>
    </row>
    <row r="97" spans="1:15" s="109" customFormat="1" ht="12.75">
      <c r="A97" s="831" t="s">
        <v>47</v>
      </c>
      <c r="B97" s="831"/>
      <c r="C97" s="831"/>
      <c r="D97" s="831"/>
      <c r="E97" s="831"/>
      <c r="F97" s="831"/>
      <c r="G97" s="831"/>
      <c r="H97" s="831"/>
      <c r="I97" s="831"/>
      <c r="J97" s="831"/>
      <c r="K97" s="143">
        <f>ROUND(I79/(1-$H$81),2)</f>
        <v>1698.19</v>
      </c>
    </row>
    <row r="98" spans="1:15" s="109" customFormat="1" ht="12.75">
      <c r="A98" s="832" t="s">
        <v>214</v>
      </c>
      <c r="B98" s="821"/>
      <c r="C98" s="821"/>
      <c r="D98" s="821"/>
      <c r="E98" s="821"/>
      <c r="F98" s="821"/>
      <c r="G98" s="821"/>
      <c r="H98" s="821"/>
      <c r="I98" s="155"/>
      <c r="J98" s="407">
        <v>1</v>
      </c>
      <c r="K98" s="156">
        <f>K97</f>
        <v>1698.19</v>
      </c>
    </row>
    <row r="99" spans="1:15" s="109" customFormat="1" ht="13.5" thickBot="1">
      <c r="A99" s="905" t="s">
        <v>217</v>
      </c>
      <c r="B99" s="905"/>
      <c r="C99" s="905"/>
      <c r="D99" s="905"/>
      <c r="E99" s="816"/>
      <c r="F99" s="816"/>
      <c r="G99" s="816"/>
      <c r="H99" s="816"/>
      <c r="I99" s="905"/>
      <c r="J99" s="905"/>
      <c r="K99" s="157">
        <f>K98*12</f>
        <v>20378.28</v>
      </c>
    </row>
    <row r="100" spans="1:15" s="109" customFormat="1" ht="13.5" thickBot="1">
      <c r="A100" s="833" t="s">
        <v>529</v>
      </c>
      <c r="B100" s="834"/>
      <c r="C100" s="834"/>
      <c r="D100" s="834"/>
      <c r="E100" s="834"/>
      <c r="F100" s="834"/>
      <c r="G100" s="834"/>
      <c r="H100" s="834"/>
      <c r="I100" s="834"/>
      <c r="J100" s="835"/>
      <c r="K100" s="514">
        <f>(K99/12)</f>
        <v>1698.1899999999998</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0.5</v>
      </c>
      <c r="M103" s="304"/>
      <c r="N103" s="304"/>
      <c r="O103" s="304"/>
    </row>
    <row r="104" spans="1:15" ht="15" customHeight="1">
      <c r="G104" s="161"/>
      <c r="H104" s="823" t="s">
        <v>32</v>
      </c>
      <c r="I104" s="824"/>
      <c r="J104" s="825"/>
      <c r="K104" s="163">
        <f>J78</f>
        <v>0.45</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1.2415747706894771</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75:I75"/>
    <mergeCell ref="A76:I76"/>
    <mergeCell ref="B77:I77"/>
    <mergeCell ref="A66:J66"/>
    <mergeCell ref="B67:I67"/>
    <mergeCell ref="B68:I68"/>
    <mergeCell ref="A69:I69"/>
    <mergeCell ref="A70:K70"/>
    <mergeCell ref="A71:I71"/>
    <mergeCell ref="B73:H73"/>
    <mergeCell ref="B74:H74"/>
    <mergeCell ref="I73:J73"/>
    <mergeCell ref="I74:J74"/>
    <mergeCell ref="B78:I78"/>
    <mergeCell ref="A79:A86"/>
    <mergeCell ref="B79:H79"/>
    <mergeCell ref="I79:J79"/>
    <mergeCell ref="B80:E80"/>
    <mergeCell ref="I80:J80"/>
    <mergeCell ref="B81:E83"/>
    <mergeCell ref="H81:H86"/>
    <mergeCell ref="I81:J81"/>
    <mergeCell ref="A87:J87"/>
    <mergeCell ref="A88:K88"/>
    <mergeCell ref="A89:J89"/>
    <mergeCell ref="B90:J90"/>
    <mergeCell ref="B91:J91"/>
    <mergeCell ref="B92:J92"/>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CCFF"/>
    <pageSetUpPr fitToPage="1"/>
  </sheetPr>
  <dimension ref="A1:O116"/>
  <sheetViews>
    <sheetView view="pageBreakPreview" zoomScaleNormal="100" zoomScaleSheetLayoutView="100" workbookViewId="0">
      <selection activeCell="J78" sqref="J78"/>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539</v>
      </c>
      <c r="B5" s="897"/>
      <c r="C5" s="897"/>
      <c r="D5" s="897"/>
      <c r="E5" s="897"/>
      <c r="F5" s="897"/>
      <c r="G5" s="897"/>
      <c r="H5" s="897"/>
      <c r="I5" s="898" t="s">
        <v>540</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409" t="s">
        <v>4</v>
      </c>
      <c r="B8" s="890" t="s">
        <v>397</v>
      </c>
      <c r="C8" s="890"/>
      <c r="D8" s="890"/>
      <c r="E8" s="890"/>
      <c r="F8" s="890"/>
      <c r="G8" s="890"/>
      <c r="H8" s="890"/>
      <c r="I8" s="890"/>
      <c r="J8" s="890"/>
      <c r="K8" s="333">
        <f>K7/220*6*5</f>
        <v>173.18181818181816</v>
      </c>
      <c r="L8" s="326"/>
      <c r="M8" s="111"/>
    </row>
    <row r="9" spans="1:15">
      <c r="A9" s="409" t="s">
        <v>6</v>
      </c>
      <c r="B9" s="374" t="s">
        <v>433</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173.18181818181816</v>
      </c>
      <c r="L10" s="113"/>
    </row>
    <row r="11" spans="1:15">
      <c r="A11" s="892" t="s">
        <v>208</v>
      </c>
      <c r="B11" s="892"/>
      <c r="C11" s="892"/>
      <c r="D11" s="892"/>
      <c r="E11" s="892"/>
      <c r="F11" s="892"/>
      <c r="G11" s="892"/>
      <c r="H11" s="892"/>
      <c r="I11" s="892"/>
      <c r="J11" s="892"/>
      <c r="K11" s="114">
        <f>SUM(K10:K10)</f>
        <v>173.18181818181816</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14.43</v>
      </c>
    </row>
    <row r="15" spans="1:15">
      <c r="A15" s="409" t="s">
        <v>6</v>
      </c>
      <c r="B15" s="857" t="s">
        <v>164</v>
      </c>
      <c r="C15" s="858"/>
      <c r="D15" s="858"/>
      <c r="E15" s="858"/>
      <c r="F15" s="858"/>
      <c r="G15" s="858"/>
      <c r="H15" s="858"/>
      <c r="I15" s="859"/>
      <c r="J15" s="118">
        <f>J54*33.33%</f>
        <v>2.7774999999999998E-2</v>
      </c>
      <c r="K15" s="119">
        <f>ROUND($J15*K$11,2)</f>
        <v>4.8099999999999996</v>
      </c>
      <c r="M15" s="109" t="s">
        <v>233</v>
      </c>
    </row>
    <row r="16" spans="1:15">
      <c r="A16" s="409" t="s">
        <v>10</v>
      </c>
      <c r="B16" s="411" t="s">
        <v>213</v>
      </c>
      <c r="C16" s="411"/>
      <c r="D16" s="411"/>
      <c r="E16" s="411"/>
      <c r="F16" s="411"/>
      <c r="G16" s="411"/>
      <c r="H16" s="411"/>
      <c r="I16" s="412"/>
      <c r="J16" s="118">
        <f>SUM(J14:J15)</f>
        <v>0.11107499999999999</v>
      </c>
      <c r="K16" s="112">
        <f>SUM(K14:K15)</f>
        <v>19.239999999999998</v>
      </c>
    </row>
    <row r="17" spans="1:15">
      <c r="A17" s="409" t="s">
        <v>12</v>
      </c>
      <c r="B17" s="328" t="s">
        <v>398</v>
      </c>
      <c r="C17" s="328"/>
      <c r="D17" s="328"/>
      <c r="E17" s="328"/>
      <c r="F17" s="328"/>
      <c r="G17" s="328"/>
      <c r="H17" s="328"/>
      <c r="I17" s="329"/>
      <c r="J17" s="330">
        <f>J16*J28</f>
        <v>3.2767125000000001E-2</v>
      </c>
      <c r="K17" s="331">
        <f>ROUND($J17*K$11,2)</f>
        <v>5.67</v>
      </c>
    </row>
    <row r="18" spans="1:15">
      <c r="A18" s="847" t="s">
        <v>165</v>
      </c>
      <c r="B18" s="848"/>
      <c r="C18" s="848"/>
      <c r="D18" s="848"/>
      <c r="E18" s="848"/>
      <c r="F18" s="848"/>
      <c r="G18" s="848"/>
      <c r="H18" s="848"/>
      <c r="I18" s="863"/>
      <c r="J18" s="125">
        <f>SUM(J16:J17)</f>
        <v>0.14384212499999999</v>
      </c>
      <c r="K18" s="126">
        <f>SUM(K16:K17)</f>
        <v>24.909999999999997</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34.64</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13.85</v>
      </c>
      <c r="L25" s="121"/>
    </row>
    <row r="26" spans="1:15">
      <c r="A26" s="409" t="s">
        <v>15</v>
      </c>
      <c r="B26" s="844" t="s">
        <v>22</v>
      </c>
      <c r="C26" s="844"/>
      <c r="D26" s="844"/>
      <c r="E26" s="844"/>
      <c r="F26" s="410" t="s">
        <v>23</v>
      </c>
      <c r="G26" s="122">
        <v>0.03</v>
      </c>
      <c r="H26" s="410" t="s">
        <v>24</v>
      </c>
      <c r="I26" s="303">
        <v>0.5</v>
      </c>
      <c r="J26" s="104">
        <f>G26*I26</f>
        <v>1.4999999999999999E-2</v>
      </c>
      <c r="K26" s="119">
        <f t="shared" si="0"/>
        <v>2.6</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51.09</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4</v>
      </c>
      <c r="J30" s="402">
        <v>13.8</v>
      </c>
      <c r="K30" s="123">
        <f>(J30*I30)*80%</f>
        <v>44.160000000000004</v>
      </c>
    </row>
    <row r="31" spans="1:15">
      <c r="A31" s="409" t="s">
        <v>434</v>
      </c>
      <c r="B31" s="150" t="s">
        <v>435</v>
      </c>
      <c r="C31" s="151"/>
      <c r="D31" s="151"/>
      <c r="E31" s="151"/>
      <c r="F31" s="151"/>
      <c r="G31" s="151"/>
      <c r="H31" s="151"/>
      <c r="I31" s="405">
        <v>0</v>
      </c>
      <c r="J31" s="402">
        <v>0</v>
      </c>
      <c r="K31" s="123">
        <f>(J31*I31)*80%</f>
        <v>0</v>
      </c>
    </row>
    <row r="32" spans="1:15" ht="15.75" thickBot="1">
      <c r="A32" s="409" t="s">
        <v>6</v>
      </c>
      <c r="B32" s="876" t="s">
        <v>218</v>
      </c>
      <c r="C32" s="877"/>
      <c r="D32" s="877"/>
      <c r="E32" s="877"/>
      <c r="F32" s="877"/>
      <c r="G32" s="877"/>
      <c r="H32" s="152"/>
      <c r="I32" s="406">
        <v>8</v>
      </c>
      <c r="J32" s="403">
        <v>3.35</v>
      </c>
      <c r="K32" s="123">
        <f>I32*2*J32</f>
        <v>53.6</v>
      </c>
    </row>
    <row r="33" spans="1:11">
      <c r="A33" s="409" t="s">
        <v>10</v>
      </c>
      <c r="B33" s="876" t="s">
        <v>219</v>
      </c>
      <c r="C33" s="877"/>
      <c r="D33" s="877"/>
      <c r="E33" s="877"/>
      <c r="F33" s="877"/>
      <c r="G33" s="877"/>
      <c r="H33" s="877"/>
      <c r="I33" s="883"/>
      <c r="J33" s="153">
        <v>-0.06</v>
      </c>
      <c r="K33" s="154">
        <f>K8*J33</f>
        <v>-10.390909090909089</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v>0</v>
      </c>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190.86909090909091</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24.909999999999997</v>
      </c>
    </row>
    <row r="42" spans="1:11" s="109" customFormat="1" ht="12.75">
      <c r="A42" s="409" t="s">
        <v>175</v>
      </c>
      <c r="B42" s="857" t="s">
        <v>178</v>
      </c>
      <c r="C42" s="858"/>
      <c r="D42" s="858"/>
      <c r="E42" s="858"/>
      <c r="F42" s="858"/>
      <c r="G42" s="858"/>
      <c r="H42" s="858"/>
      <c r="I42" s="859"/>
      <c r="J42" s="408"/>
      <c r="K42" s="112">
        <f>K28</f>
        <v>51.09</v>
      </c>
    </row>
    <row r="43" spans="1:11" s="109" customFormat="1" ht="12.75">
      <c r="A43" s="409" t="s">
        <v>176</v>
      </c>
      <c r="B43" s="857" t="s">
        <v>180</v>
      </c>
      <c r="C43" s="858"/>
      <c r="D43" s="858"/>
      <c r="E43" s="858"/>
      <c r="F43" s="858"/>
      <c r="G43" s="858"/>
      <c r="H43" s="858"/>
      <c r="I43" s="859"/>
      <c r="J43" s="408"/>
      <c r="K43" s="112">
        <f>K39</f>
        <v>190.86909090909091</v>
      </c>
    </row>
    <row r="44" spans="1:11" s="109" customFormat="1" ht="12.75">
      <c r="A44" s="847" t="s">
        <v>179</v>
      </c>
      <c r="B44" s="848"/>
      <c r="C44" s="848"/>
      <c r="D44" s="848"/>
      <c r="E44" s="848"/>
      <c r="F44" s="848"/>
      <c r="G44" s="848"/>
      <c r="H44" s="848"/>
      <c r="I44" s="863"/>
      <c r="J44" s="125"/>
      <c r="K44" s="126">
        <f>SUM(K41:K43)</f>
        <v>266.86909090909091</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0.72</v>
      </c>
    </row>
    <row r="47" spans="1:11" s="109" customFormat="1" ht="12.75">
      <c r="A47" s="409" t="s">
        <v>6</v>
      </c>
      <c r="B47" s="844" t="s">
        <v>27</v>
      </c>
      <c r="C47" s="844"/>
      <c r="D47" s="844"/>
      <c r="E47" s="844"/>
      <c r="F47" s="844"/>
      <c r="G47" s="844"/>
      <c r="H47" s="844"/>
      <c r="I47" s="844"/>
      <c r="J47" s="118">
        <f>J25*J46</f>
        <v>3.3333333333333332E-4</v>
      </c>
      <c r="K47" s="112">
        <f>ROUND(J47*$K$11,2)</f>
        <v>0.06</v>
      </c>
    </row>
    <row r="48" spans="1:11" s="109" customFormat="1" ht="12.75">
      <c r="A48" s="409" t="s">
        <v>10</v>
      </c>
      <c r="B48" s="844" t="s">
        <v>184</v>
      </c>
      <c r="C48" s="844"/>
      <c r="D48" s="844"/>
      <c r="E48" s="844"/>
      <c r="F48" s="844"/>
      <c r="G48" s="844"/>
      <c r="H48" s="844"/>
      <c r="I48" s="844"/>
      <c r="J48" s="118">
        <f>(1/30)/12*7</f>
        <v>1.9444444444444445E-2</v>
      </c>
      <c r="K48" s="112">
        <f>ROUND(J48*$K$11,2)</f>
        <v>3.37</v>
      </c>
    </row>
    <row r="49" spans="1:15" s="109" customFormat="1" ht="12.75">
      <c r="A49" s="409" t="s">
        <v>12</v>
      </c>
      <c r="B49" s="844" t="s">
        <v>183</v>
      </c>
      <c r="C49" s="844"/>
      <c r="D49" s="844"/>
      <c r="E49" s="844"/>
      <c r="F49" s="844"/>
      <c r="G49" s="844"/>
      <c r="H49" s="844"/>
      <c r="I49" s="844"/>
      <c r="J49" s="118">
        <f>J28*J48</f>
        <v>5.736111111111112E-3</v>
      </c>
      <c r="K49" s="112">
        <f>ROUND(J49*$K$11,2)</f>
        <v>0.99</v>
      </c>
    </row>
    <row r="50" spans="1:15" s="109" customFormat="1" ht="12.75">
      <c r="A50" s="324" t="s">
        <v>14</v>
      </c>
      <c r="B50" s="411" t="s">
        <v>399</v>
      </c>
      <c r="C50" s="411"/>
      <c r="D50" s="411"/>
      <c r="E50" s="411"/>
      <c r="F50" s="411"/>
      <c r="G50" s="411"/>
      <c r="H50" s="411"/>
      <c r="I50" s="412"/>
      <c r="J50" s="118">
        <f>0.5*J25</f>
        <v>0.04</v>
      </c>
      <c r="K50" s="112">
        <f>ROUND(J50*$K$11,2)</f>
        <v>6.93</v>
      </c>
    </row>
    <row r="51" spans="1:15" s="109" customFormat="1" ht="12.75">
      <c r="A51" s="847" t="s">
        <v>181</v>
      </c>
      <c r="B51" s="848"/>
      <c r="C51" s="848"/>
      <c r="D51" s="848"/>
      <c r="E51" s="848"/>
      <c r="F51" s="848"/>
      <c r="G51" s="848"/>
      <c r="H51" s="848"/>
      <c r="I51" s="863"/>
      <c r="J51" s="125">
        <f>SUM(J46:J50)</f>
        <v>6.9680555555555551E-2</v>
      </c>
      <c r="K51" s="126">
        <f>SUM(K46:K50)</f>
        <v>12.07</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14.43</v>
      </c>
    </row>
    <row r="55" spans="1:15">
      <c r="A55" s="409" t="s">
        <v>6</v>
      </c>
      <c r="B55" s="844" t="s">
        <v>188</v>
      </c>
      <c r="C55" s="844"/>
      <c r="D55" s="844"/>
      <c r="E55" s="844"/>
      <c r="F55" s="874" t="s">
        <v>29</v>
      </c>
      <c r="G55" s="874"/>
      <c r="H55" s="874"/>
      <c r="I55" s="131">
        <v>6</v>
      </c>
      <c r="J55" s="104">
        <f>I55/30/12</f>
        <v>1.6666666666666666E-2</v>
      </c>
      <c r="K55" s="112">
        <f>ROUND(J55*$K$11,2)</f>
        <v>2.89</v>
      </c>
    </row>
    <row r="56" spans="1:15">
      <c r="A56" s="409" t="s">
        <v>10</v>
      </c>
      <c r="B56" s="844" t="s">
        <v>30</v>
      </c>
      <c r="C56" s="844"/>
      <c r="D56" s="844"/>
      <c r="E56" s="844"/>
      <c r="F56" s="874" t="s">
        <v>28</v>
      </c>
      <c r="G56" s="874"/>
      <c r="H56" s="132">
        <v>1.4999999999999999E-2</v>
      </c>
      <c r="I56" s="133">
        <v>5</v>
      </c>
      <c r="J56" s="104">
        <f>I56/30/12*H56</f>
        <v>2.0833333333333332E-4</v>
      </c>
      <c r="K56" s="112">
        <f>ROUND(J56*$K$11,2)</f>
        <v>0.04</v>
      </c>
    </row>
    <row r="57" spans="1:15">
      <c r="A57" s="409" t="s">
        <v>12</v>
      </c>
      <c r="B57" s="844" t="s">
        <v>189</v>
      </c>
      <c r="C57" s="844"/>
      <c r="D57" s="844"/>
      <c r="E57" s="131"/>
      <c r="F57" s="874" t="s">
        <v>28</v>
      </c>
      <c r="G57" s="874"/>
      <c r="H57" s="132">
        <v>8.0000000000000002E-3</v>
      </c>
      <c r="I57" s="134">
        <v>20</v>
      </c>
      <c r="J57" s="104">
        <f>I57/30/12*H57</f>
        <v>4.4444444444444441E-4</v>
      </c>
      <c r="K57" s="112">
        <f>ROUND(J57*$K$11,2)</f>
        <v>0.08</v>
      </c>
    </row>
    <row r="58" spans="1:15">
      <c r="A58" s="409" t="s">
        <v>14</v>
      </c>
      <c r="B58" s="844" t="s">
        <v>190</v>
      </c>
      <c r="C58" s="844"/>
      <c r="D58" s="844"/>
      <c r="E58" s="131"/>
      <c r="F58" s="875"/>
      <c r="G58" s="874"/>
      <c r="H58" s="132">
        <v>0.1</v>
      </c>
      <c r="I58" s="134">
        <v>10</v>
      </c>
      <c r="J58" s="104">
        <f>I58/30/12*H58</f>
        <v>2.7777777777777779E-3</v>
      </c>
      <c r="K58" s="112">
        <f>ROUND(J58*$K$11,2)</f>
        <v>0.48</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17.919999999999998</v>
      </c>
    </row>
    <row r="61" spans="1:15">
      <c r="A61" s="409" t="s">
        <v>12</v>
      </c>
      <c r="B61" s="328" t="s">
        <v>215</v>
      </c>
      <c r="C61" s="328"/>
      <c r="D61" s="328"/>
      <c r="E61" s="328"/>
      <c r="F61" s="328"/>
      <c r="G61" s="328"/>
      <c r="H61" s="328"/>
      <c r="I61" s="329"/>
      <c r="J61" s="332">
        <f>J60*J28</f>
        <v>3.0512013888888894E-2</v>
      </c>
      <c r="K61" s="327">
        <f>ROUND(J61*$K$11,2)</f>
        <v>5.28</v>
      </c>
    </row>
    <row r="62" spans="1:15">
      <c r="A62" s="847" t="s">
        <v>192</v>
      </c>
      <c r="B62" s="848"/>
      <c r="C62" s="848"/>
      <c r="D62" s="848"/>
      <c r="E62" s="848"/>
      <c r="F62" s="848"/>
      <c r="G62" s="848"/>
      <c r="H62" s="848"/>
      <c r="I62" s="863"/>
      <c r="J62" s="148">
        <f>SUM(J60:J61)</f>
        <v>0.13394256944444444</v>
      </c>
      <c r="K62" s="126">
        <f>SUM(K60:K61)</f>
        <v>23.2</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23.2</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23.2</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SERVENTES'!F16</f>
        <v>52.833333333333336</v>
      </c>
    </row>
    <row r="73" spans="1:13" s="109" customFormat="1" ht="12.75">
      <c r="A73" s="409" t="s">
        <v>6</v>
      </c>
      <c r="B73" s="866" t="s">
        <v>212</v>
      </c>
      <c r="C73" s="867"/>
      <c r="D73" s="867"/>
      <c r="E73" s="867"/>
      <c r="F73" s="867"/>
      <c r="G73" s="867"/>
      <c r="H73" s="867"/>
      <c r="I73" s="845">
        <v>0</v>
      </c>
      <c r="J73" s="846"/>
      <c r="K73" s="124">
        <f>MATERIAIS!J224</f>
        <v>183.33333333333334</v>
      </c>
      <c r="L73" s="137"/>
      <c r="M73" s="111"/>
    </row>
    <row r="74" spans="1:13" s="109" customFormat="1" ht="12.75">
      <c r="A74" s="409" t="s">
        <v>10</v>
      </c>
      <c r="B74" s="866" t="s">
        <v>394</v>
      </c>
      <c r="C74" s="867"/>
      <c r="D74" s="867"/>
      <c r="E74" s="867"/>
      <c r="F74" s="867"/>
      <c r="G74" s="867"/>
      <c r="H74" s="891"/>
      <c r="I74" s="845">
        <v>0</v>
      </c>
      <c r="J74" s="846"/>
      <c r="K74" s="124">
        <f>EQUIPAMENTOS!J51</f>
        <v>0</v>
      </c>
      <c r="L74" s="137"/>
      <c r="M74" s="111"/>
    </row>
    <row r="75" spans="1:13" s="109" customFormat="1" ht="12.75">
      <c r="A75" s="847" t="s">
        <v>207</v>
      </c>
      <c r="B75" s="848"/>
      <c r="C75" s="848"/>
      <c r="D75" s="848"/>
      <c r="E75" s="848"/>
      <c r="F75" s="848"/>
      <c r="G75" s="848"/>
      <c r="H75" s="848"/>
      <c r="I75" s="863"/>
      <c r="J75" s="125"/>
      <c r="K75" s="126">
        <f>SUM(K72:K74)</f>
        <v>236.16666666666669</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0.55000000000000004</v>
      </c>
      <c r="K77" s="119">
        <f>J77*K95</f>
        <v>391.31816666666668</v>
      </c>
      <c r="L77" s="139"/>
    </row>
    <row r="78" spans="1:13" s="109" customFormat="1" ht="12.75">
      <c r="A78" s="409" t="s">
        <v>6</v>
      </c>
      <c r="B78" s="829" t="s">
        <v>32</v>
      </c>
      <c r="C78" s="829"/>
      <c r="D78" s="829"/>
      <c r="E78" s="829"/>
      <c r="F78" s="829"/>
      <c r="G78" s="829"/>
      <c r="H78" s="829"/>
      <c r="I78" s="829"/>
      <c r="J78" s="138">
        <v>0.45</v>
      </c>
      <c r="K78" s="119">
        <f>J78*(K95+K77)</f>
        <v>496.26258409090912</v>
      </c>
      <c r="L78" s="139"/>
    </row>
    <row r="79" spans="1:13" s="109" customFormat="1" ht="12.75">
      <c r="A79" s="836" t="s">
        <v>10</v>
      </c>
      <c r="B79" s="852" t="s">
        <v>33</v>
      </c>
      <c r="C79" s="853"/>
      <c r="D79" s="853"/>
      <c r="E79" s="853"/>
      <c r="F79" s="853"/>
      <c r="G79" s="853"/>
      <c r="H79" s="854"/>
      <c r="I79" s="855">
        <f>K95+K77+K78</f>
        <v>1599.0683265151515</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2.83</v>
      </c>
      <c r="J81" s="840"/>
      <c r="K81" s="841">
        <f>SUM(I81:J86)</f>
        <v>48.94</v>
      </c>
    </row>
    <row r="82" spans="1:11" s="109" customFormat="1" ht="12.75">
      <c r="A82" s="836"/>
      <c r="B82" s="844"/>
      <c r="C82" s="844"/>
      <c r="D82" s="844"/>
      <c r="E82" s="844"/>
      <c r="F82" s="413" t="s">
        <v>38</v>
      </c>
      <c r="G82" s="575">
        <v>7.9500000000000005E-3</v>
      </c>
      <c r="H82" s="838"/>
      <c r="I82" s="839">
        <f t="shared" si="1"/>
        <v>13.1</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33.01</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936.5207507575758</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173.18181818181816</v>
      </c>
    </row>
    <row r="91" spans="1:11" s="109" customFormat="1" ht="12.75">
      <c r="A91" s="409" t="s">
        <v>6</v>
      </c>
      <c r="B91" s="829" t="str">
        <f>A12</f>
        <v>MÓDULO 2 – ENCARGOS E BENEFÍCIOS ANUAIS, MENSAIS E DIÁRIOS</v>
      </c>
      <c r="C91" s="829"/>
      <c r="D91" s="829"/>
      <c r="E91" s="829"/>
      <c r="F91" s="829"/>
      <c r="G91" s="829"/>
      <c r="H91" s="829"/>
      <c r="I91" s="829"/>
      <c r="J91" s="829"/>
      <c r="K91" s="142">
        <f>K44</f>
        <v>266.86909090909091</v>
      </c>
    </row>
    <row r="92" spans="1:11" s="109" customFormat="1" ht="12.75">
      <c r="A92" s="409" t="s">
        <v>10</v>
      </c>
      <c r="B92" s="829" t="str">
        <f>A45</f>
        <v>MÓDULO 3 – PROVISÃO PARA RESCISÃO</v>
      </c>
      <c r="C92" s="829"/>
      <c r="D92" s="829"/>
      <c r="E92" s="829"/>
      <c r="F92" s="829"/>
      <c r="G92" s="829"/>
      <c r="H92" s="829"/>
      <c r="I92" s="829"/>
      <c r="J92" s="829"/>
      <c r="K92" s="142">
        <f>K51</f>
        <v>12.07</v>
      </c>
    </row>
    <row r="93" spans="1:11" s="109" customFormat="1" ht="12.75">
      <c r="A93" s="409" t="s">
        <v>12</v>
      </c>
      <c r="B93" s="829" t="str">
        <f>A52</f>
        <v>MÓDULO 4 – CUSTO DE REPOSIÇÃO DO PROFISSIONAL AUSENTE</v>
      </c>
      <c r="C93" s="829"/>
      <c r="D93" s="829"/>
      <c r="E93" s="829"/>
      <c r="F93" s="829"/>
      <c r="G93" s="829"/>
      <c r="H93" s="829"/>
      <c r="I93" s="829"/>
      <c r="J93" s="829"/>
      <c r="K93" s="142">
        <f>K62</f>
        <v>23.2</v>
      </c>
    </row>
    <row r="94" spans="1:11" s="109" customFormat="1" ht="12.75">
      <c r="A94" s="409" t="s">
        <v>14</v>
      </c>
      <c r="B94" s="829" t="str">
        <f>A71</f>
        <v>MÓDULO 5 – INSUMOS DIVERSOS</v>
      </c>
      <c r="C94" s="829"/>
      <c r="D94" s="829"/>
      <c r="E94" s="829"/>
      <c r="F94" s="829"/>
      <c r="G94" s="829"/>
      <c r="H94" s="829"/>
      <c r="I94" s="829"/>
      <c r="J94" s="829"/>
      <c r="K94" s="142">
        <f>K75</f>
        <v>236.16666666666669</v>
      </c>
    </row>
    <row r="95" spans="1:11" s="109" customFormat="1" ht="12.75">
      <c r="A95" s="830" t="s">
        <v>209</v>
      </c>
      <c r="B95" s="830"/>
      <c r="C95" s="830"/>
      <c r="D95" s="830"/>
      <c r="E95" s="830"/>
      <c r="F95" s="830"/>
      <c r="G95" s="830"/>
      <c r="H95" s="830"/>
      <c r="I95" s="830"/>
      <c r="J95" s="830"/>
      <c r="K95" s="107">
        <f>SUM(K90:K94)</f>
        <v>711.48757575757577</v>
      </c>
    </row>
    <row r="96" spans="1:11" s="109" customFormat="1" ht="12.75">
      <c r="A96" s="409" t="s">
        <v>14</v>
      </c>
      <c r="B96" s="829" t="s">
        <v>46</v>
      </c>
      <c r="C96" s="829"/>
      <c r="D96" s="829"/>
      <c r="E96" s="829"/>
      <c r="F96" s="829"/>
      <c r="G96" s="829"/>
      <c r="H96" s="829"/>
      <c r="I96" s="829"/>
      <c r="J96" s="829"/>
      <c r="K96" s="108">
        <f>K97-K95</f>
        <v>936.52242424242422</v>
      </c>
    </row>
    <row r="97" spans="1:15" s="109" customFormat="1" ht="12.75">
      <c r="A97" s="831" t="s">
        <v>47</v>
      </c>
      <c r="B97" s="831"/>
      <c r="C97" s="831"/>
      <c r="D97" s="831"/>
      <c r="E97" s="831"/>
      <c r="F97" s="831"/>
      <c r="G97" s="831"/>
      <c r="H97" s="831"/>
      <c r="I97" s="831"/>
      <c r="J97" s="831"/>
      <c r="K97" s="143">
        <f>ROUND(I79/(1-$H$81),2)</f>
        <v>1648.01</v>
      </c>
    </row>
    <row r="98" spans="1:15" s="109" customFormat="1" ht="12.75">
      <c r="A98" s="832" t="s">
        <v>214</v>
      </c>
      <c r="B98" s="821"/>
      <c r="C98" s="821"/>
      <c r="D98" s="821"/>
      <c r="E98" s="821"/>
      <c r="F98" s="821"/>
      <c r="G98" s="821"/>
      <c r="H98" s="821"/>
      <c r="I98" s="155"/>
      <c r="J98" s="407">
        <v>1</v>
      </c>
      <c r="K98" s="156">
        <f>K97</f>
        <v>1648.01</v>
      </c>
    </row>
    <row r="99" spans="1:15" s="109" customFormat="1" ht="13.5" thickBot="1">
      <c r="A99" s="905" t="s">
        <v>217</v>
      </c>
      <c r="B99" s="905"/>
      <c r="C99" s="905"/>
      <c r="D99" s="905"/>
      <c r="E99" s="816"/>
      <c r="F99" s="816"/>
      <c r="G99" s="816"/>
      <c r="H99" s="816"/>
      <c r="I99" s="905"/>
      <c r="J99" s="905"/>
      <c r="K99" s="157">
        <f>K98*12</f>
        <v>19776.12</v>
      </c>
    </row>
    <row r="100" spans="1:15" s="109" customFormat="1" ht="13.5" thickBot="1">
      <c r="A100" s="833" t="s">
        <v>529</v>
      </c>
      <c r="B100" s="834"/>
      <c r="C100" s="834"/>
      <c r="D100" s="834"/>
      <c r="E100" s="834"/>
      <c r="F100" s="834"/>
      <c r="G100" s="834"/>
      <c r="H100" s="834"/>
      <c r="I100" s="834"/>
      <c r="J100" s="835"/>
      <c r="K100" s="514">
        <f>(K99/12)</f>
        <v>1648.01</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0.55000000000000004</v>
      </c>
      <c r="M103" s="304"/>
      <c r="N103" s="304"/>
      <c r="O103" s="304"/>
    </row>
    <row r="104" spans="1:15" ht="15" customHeight="1">
      <c r="G104" s="161"/>
      <c r="H104" s="823" t="s">
        <v>32</v>
      </c>
      <c r="I104" s="824"/>
      <c r="J104" s="825"/>
      <c r="K104" s="163">
        <f>J78</f>
        <v>0.45</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1.3162939297124598</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75:I75"/>
    <mergeCell ref="A76:I76"/>
    <mergeCell ref="B77:I77"/>
    <mergeCell ref="A66:J66"/>
    <mergeCell ref="B67:I67"/>
    <mergeCell ref="B68:I68"/>
    <mergeCell ref="A69:I69"/>
    <mergeCell ref="A70:K70"/>
    <mergeCell ref="A71:I71"/>
    <mergeCell ref="B73:H73"/>
    <mergeCell ref="B74:H74"/>
    <mergeCell ref="I73:J73"/>
    <mergeCell ref="I74:J74"/>
    <mergeCell ref="B78:I78"/>
    <mergeCell ref="A79:A86"/>
    <mergeCell ref="B79:H79"/>
    <mergeCell ref="I79:J79"/>
    <mergeCell ref="B80:E80"/>
    <mergeCell ref="I80:J80"/>
    <mergeCell ref="B81:E83"/>
    <mergeCell ref="H81:H86"/>
    <mergeCell ref="I81:J81"/>
    <mergeCell ref="A87:J87"/>
    <mergeCell ref="A88:K88"/>
    <mergeCell ref="A89:J89"/>
    <mergeCell ref="B90:J90"/>
    <mergeCell ref="B91:J91"/>
    <mergeCell ref="B92:J92"/>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66CCFF"/>
    <pageSetUpPr fitToPage="1"/>
  </sheetPr>
  <dimension ref="A1:O116"/>
  <sheetViews>
    <sheetView view="pageBreakPreview" zoomScaleNormal="100" zoomScaleSheetLayoutView="100" workbookViewId="0">
      <selection activeCell="J78" sqref="J78"/>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541</v>
      </c>
      <c r="B5" s="897"/>
      <c r="C5" s="897"/>
      <c r="D5" s="897"/>
      <c r="E5" s="897"/>
      <c r="F5" s="897"/>
      <c r="G5" s="897"/>
      <c r="H5" s="897"/>
      <c r="I5" s="898" t="s">
        <v>542</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409" t="s">
        <v>4</v>
      </c>
      <c r="B8" s="890" t="s">
        <v>397</v>
      </c>
      <c r="C8" s="890"/>
      <c r="D8" s="890"/>
      <c r="E8" s="890"/>
      <c r="F8" s="890"/>
      <c r="G8" s="890"/>
      <c r="H8" s="890"/>
      <c r="I8" s="890"/>
      <c r="J8" s="890"/>
      <c r="K8" s="333">
        <f>K7/220*6*5</f>
        <v>173.18181818181816</v>
      </c>
      <c r="L8" s="326"/>
      <c r="M8" s="111"/>
    </row>
    <row r="9" spans="1:15">
      <c r="A9" s="409" t="s">
        <v>6</v>
      </c>
      <c r="B9" s="374" t="s">
        <v>433</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173.18181818181816</v>
      </c>
      <c r="L10" s="113"/>
    </row>
    <row r="11" spans="1:15">
      <c r="A11" s="892" t="s">
        <v>208</v>
      </c>
      <c r="B11" s="892"/>
      <c r="C11" s="892"/>
      <c r="D11" s="892"/>
      <c r="E11" s="892"/>
      <c r="F11" s="892"/>
      <c r="G11" s="892"/>
      <c r="H11" s="892"/>
      <c r="I11" s="892"/>
      <c r="J11" s="892"/>
      <c r="K11" s="114">
        <f>SUM(K10:K10)</f>
        <v>173.18181818181816</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14.43</v>
      </c>
    </row>
    <row r="15" spans="1:15">
      <c r="A15" s="409" t="s">
        <v>6</v>
      </c>
      <c r="B15" s="857" t="s">
        <v>164</v>
      </c>
      <c r="C15" s="858"/>
      <c r="D15" s="858"/>
      <c r="E15" s="858"/>
      <c r="F15" s="858"/>
      <c r="G15" s="858"/>
      <c r="H15" s="858"/>
      <c r="I15" s="859"/>
      <c r="J15" s="118">
        <f>J54*33.33%</f>
        <v>2.7774999999999998E-2</v>
      </c>
      <c r="K15" s="119">
        <f>ROUND($J15*K$11,2)</f>
        <v>4.8099999999999996</v>
      </c>
      <c r="M15" s="109" t="s">
        <v>233</v>
      </c>
    </row>
    <row r="16" spans="1:15">
      <c r="A16" s="409" t="s">
        <v>10</v>
      </c>
      <c r="B16" s="411" t="s">
        <v>213</v>
      </c>
      <c r="C16" s="411"/>
      <c r="D16" s="411"/>
      <c r="E16" s="411"/>
      <c r="F16" s="411"/>
      <c r="G16" s="411"/>
      <c r="H16" s="411"/>
      <c r="I16" s="412"/>
      <c r="J16" s="118">
        <f>SUM(J14:J15)</f>
        <v>0.11107499999999999</v>
      </c>
      <c r="K16" s="112">
        <f>SUM(K14:K15)</f>
        <v>19.239999999999998</v>
      </c>
    </row>
    <row r="17" spans="1:15">
      <c r="A17" s="409" t="s">
        <v>12</v>
      </c>
      <c r="B17" s="328" t="s">
        <v>398</v>
      </c>
      <c r="C17" s="328"/>
      <c r="D17" s="328"/>
      <c r="E17" s="328"/>
      <c r="F17" s="328"/>
      <c r="G17" s="328"/>
      <c r="H17" s="328"/>
      <c r="I17" s="329"/>
      <c r="J17" s="330">
        <f>J16*J28</f>
        <v>3.2767125000000001E-2</v>
      </c>
      <c r="K17" s="331">
        <f>ROUND($J17*K$11,2)</f>
        <v>5.67</v>
      </c>
    </row>
    <row r="18" spans="1:15">
      <c r="A18" s="847" t="s">
        <v>165</v>
      </c>
      <c r="B18" s="848"/>
      <c r="C18" s="848"/>
      <c r="D18" s="848"/>
      <c r="E18" s="848"/>
      <c r="F18" s="848"/>
      <c r="G18" s="848"/>
      <c r="H18" s="848"/>
      <c r="I18" s="863"/>
      <c r="J18" s="125">
        <f>SUM(J16:J17)</f>
        <v>0.14384212499999999</v>
      </c>
      <c r="K18" s="126">
        <f>SUM(K16:K17)</f>
        <v>24.909999999999997</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34.64</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13.85</v>
      </c>
      <c r="L25" s="121"/>
    </row>
    <row r="26" spans="1:15">
      <c r="A26" s="409" t="s">
        <v>15</v>
      </c>
      <c r="B26" s="844" t="s">
        <v>22</v>
      </c>
      <c r="C26" s="844"/>
      <c r="D26" s="844"/>
      <c r="E26" s="844"/>
      <c r="F26" s="410" t="s">
        <v>23</v>
      </c>
      <c r="G26" s="122">
        <v>0.03</v>
      </c>
      <c r="H26" s="410" t="s">
        <v>24</v>
      </c>
      <c r="I26" s="303">
        <v>0.5</v>
      </c>
      <c r="J26" s="104">
        <f>G26*I26</f>
        <v>1.4999999999999999E-2</v>
      </c>
      <c r="K26" s="119">
        <f t="shared" si="0"/>
        <v>2.6</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51.09</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4</v>
      </c>
      <c r="J30" s="402">
        <v>13.8</v>
      </c>
      <c r="K30" s="123">
        <f>(J30*I30)*80%</f>
        <v>44.160000000000004</v>
      </c>
    </row>
    <row r="31" spans="1:15">
      <c r="A31" s="409" t="s">
        <v>434</v>
      </c>
      <c r="B31" s="150" t="s">
        <v>435</v>
      </c>
      <c r="C31" s="151"/>
      <c r="D31" s="151"/>
      <c r="E31" s="151"/>
      <c r="F31" s="151"/>
      <c r="G31" s="151"/>
      <c r="H31" s="151"/>
      <c r="I31" s="405">
        <v>0</v>
      </c>
      <c r="J31" s="402">
        <v>0</v>
      </c>
      <c r="K31" s="123">
        <f>(J31*I31)*80%</f>
        <v>0</v>
      </c>
    </row>
    <row r="32" spans="1:15" ht="15.75" thickBot="1">
      <c r="A32" s="409" t="s">
        <v>6</v>
      </c>
      <c r="B32" s="876" t="s">
        <v>218</v>
      </c>
      <c r="C32" s="877"/>
      <c r="D32" s="877"/>
      <c r="E32" s="877"/>
      <c r="F32" s="877"/>
      <c r="G32" s="877"/>
      <c r="H32" s="152"/>
      <c r="I32" s="406">
        <v>8</v>
      </c>
      <c r="J32" s="403">
        <v>3.1</v>
      </c>
      <c r="K32" s="123">
        <f>I32*2*J32</f>
        <v>49.6</v>
      </c>
    </row>
    <row r="33" spans="1:11">
      <c r="A33" s="409" t="s">
        <v>10</v>
      </c>
      <c r="B33" s="876" t="s">
        <v>219</v>
      </c>
      <c r="C33" s="877"/>
      <c r="D33" s="877"/>
      <c r="E33" s="877"/>
      <c r="F33" s="877"/>
      <c r="G33" s="877"/>
      <c r="H33" s="877"/>
      <c r="I33" s="883"/>
      <c r="J33" s="153">
        <v>-0.06</v>
      </c>
      <c r="K33" s="154">
        <f>K8*J33</f>
        <v>-10.390909090909089</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v>0</v>
      </c>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186.86909090909091</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24.909999999999997</v>
      </c>
    </row>
    <row r="42" spans="1:11" s="109" customFormat="1" ht="12.75">
      <c r="A42" s="409" t="s">
        <v>175</v>
      </c>
      <c r="B42" s="857" t="s">
        <v>178</v>
      </c>
      <c r="C42" s="858"/>
      <c r="D42" s="858"/>
      <c r="E42" s="858"/>
      <c r="F42" s="858"/>
      <c r="G42" s="858"/>
      <c r="H42" s="858"/>
      <c r="I42" s="859"/>
      <c r="J42" s="408"/>
      <c r="K42" s="112">
        <f>K28</f>
        <v>51.09</v>
      </c>
    </row>
    <row r="43" spans="1:11" s="109" customFormat="1" ht="12.75">
      <c r="A43" s="409" t="s">
        <v>176</v>
      </c>
      <c r="B43" s="857" t="s">
        <v>180</v>
      </c>
      <c r="C43" s="858"/>
      <c r="D43" s="858"/>
      <c r="E43" s="858"/>
      <c r="F43" s="858"/>
      <c r="G43" s="858"/>
      <c r="H43" s="858"/>
      <c r="I43" s="859"/>
      <c r="J43" s="408"/>
      <c r="K43" s="112">
        <f>K39</f>
        <v>186.86909090909091</v>
      </c>
    </row>
    <row r="44" spans="1:11" s="109" customFormat="1" ht="12.75">
      <c r="A44" s="847" t="s">
        <v>179</v>
      </c>
      <c r="B44" s="848"/>
      <c r="C44" s="848"/>
      <c r="D44" s="848"/>
      <c r="E44" s="848"/>
      <c r="F44" s="848"/>
      <c r="G44" s="848"/>
      <c r="H44" s="848"/>
      <c r="I44" s="863"/>
      <c r="J44" s="125"/>
      <c r="K44" s="126">
        <f>SUM(K41:K43)</f>
        <v>262.86909090909091</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0.72</v>
      </c>
    </row>
    <row r="47" spans="1:11" s="109" customFormat="1" ht="12.75">
      <c r="A47" s="409" t="s">
        <v>6</v>
      </c>
      <c r="B47" s="844" t="s">
        <v>27</v>
      </c>
      <c r="C47" s="844"/>
      <c r="D47" s="844"/>
      <c r="E47" s="844"/>
      <c r="F47" s="844"/>
      <c r="G47" s="844"/>
      <c r="H47" s="844"/>
      <c r="I47" s="844"/>
      <c r="J47" s="118">
        <f>J25*J46</f>
        <v>3.3333333333333332E-4</v>
      </c>
      <c r="K47" s="112">
        <f>ROUND(J47*$K$11,2)</f>
        <v>0.06</v>
      </c>
    </row>
    <row r="48" spans="1:11" s="109" customFormat="1" ht="12.75">
      <c r="A48" s="409" t="s">
        <v>10</v>
      </c>
      <c r="B48" s="844" t="s">
        <v>184</v>
      </c>
      <c r="C48" s="844"/>
      <c r="D48" s="844"/>
      <c r="E48" s="844"/>
      <c r="F48" s="844"/>
      <c r="G48" s="844"/>
      <c r="H48" s="844"/>
      <c r="I48" s="844"/>
      <c r="J48" s="118">
        <f>(1/30)/12*7</f>
        <v>1.9444444444444445E-2</v>
      </c>
      <c r="K48" s="112">
        <f>ROUND(J48*$K$11,2)</f>
        <v>3.37</v>
      </c>
    </row>
    <row r="49" spans="1:15" s="109" customFormat="1" ht="12.75">
      <c r="A49" s="409" t="s">
        <v>12</v>
      </c>
      <c r="B49" s="844" t="s">
        <v>183</v>
      </c>
      <c r="C49" s="844"/>
      <c r="D49" s="844"/>
      <c r="E49" s="844"/>
      <c r="F49" s="844"/>
      <c r="G49" s="844"/>
      <c r="H49" s="844"/>
      <c r="I49" s="844"/>
      <c r="J49" s="118">
        <f>J28*J48</f>
        <v>5.736111111111112E-3</v>
      </c>
      <c r="K49" s="112">
        <f>ROUND(J49*$K$11,2)</f>
        <v>0.99</v>
      </c>
    </row>
    <row r="50" spans="1:15" s="109" customFormat="1" ht="12.75">
      <c r="A50" s="324" t="s">
        <v>14</v>
      </c>
      <c r="B50" s="411" t="s">
        <v>399</v>
      </c>
      <c r="C50" s="411"/>
      <c r="D50" s="411"/>
      <c r="E50" s="411"/>
      <c r="F50" s="411"/>
      <c r="G50" s="411"/>
      <c r="H50" s="411"/>
      <c r="I50" s="412"/>
      <c r="J50" s="118">
        <f>0.5*J25</f>
        <v>0.04</v>
      </c>
      <c r="K50" s="112">
        <f>ROUND(J50*$K$11,2)</f>
        <v>6.93</v>
      </c>
    </row>
    <row r="51" spans="1:15" s="109" customFormat="1" ht="12.75">
      <c r="A51" s="847" t="s">
        <v>181</v>
      </c>
      <c r="B51" s="848"/>
      <c r="C51" s="848"/>
      <c r="D51" s="848"/>
      <c r="E51" s="848"/>
      <c r="F51" s="848"/>
      <c r="G51" s="848"/>
      <c r="H51" s="848"/>
      <c r="I51" s="863"/>
      <c r="J51" s="125">
        <f>SUM(J46:J50)</f>
        <v>6.9680555555555551E-2</v>
      </c>
      <c r="K51" s="126">
        <f>SUM(K46:K50)</f>
        <v>12.07</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14.43</v>
      </c>
    </row>
    <row r="55" spans="1:15">
      <c r="A55" s="409" t="s">
        <v>6</v>
      </c>
      <c r="B55" s="844" t="s">
        <v>188</v>
      </c>
      <c r="C55" s="844"/>
      <c r="D55" s="844"/>
      <c r="E55" s="844"/>
      <c r="F55" s="874" t="s">
        <v>29</v>
      </c>
      <c r="G55" s="874"/>
      <c r="H55" s="874"/>
      <c r="I55" s="131">
        <v>6</v>
      </c>
      <c r="J55" s="104">
        <f>I55/30/12</f>
        <v>1.6666666666666666E-2</v>
      </c>
      <c r="K55" s="112">
        <f>ROUND(J55*$K$11,2)</f>
        <v>2.89</v>
      </c>
    </row>
    <row r="56" spans="1:15">
      <c r="A56" s="409" t="s">
        <v>10</v>
      </c>
      <c r="B56" s="844" t="s">
        <v>30</v>
      </c>
      <c r="C56" s="844"/>
      <c r="D56" s="844"/>
      <c r="E56" s="844"/>
      <c r="F56" s="874" t="s">
        <v>28</v>
      </c>
      <c r="G56" s="874"/>
      <c r="H56" s="132">
        <v>1.4999999999999999E-2</v>
      </c>
      <c r="I56" s="133">
        <v>5</v>
      </c>
      <c r="J56" s="104">
        <f>I56/30/12*H56</f>
        <v>2.0833333333333332E-4</v>
      </c>
      <c r="K56" s="112">
        <f>ROUND(J56*$K$11,2)</f>
        <v>0.04</v>
      </c>
    </row>
    <row r="57" spans="1:15">
      <c r="A57" s="409" t="s">
        <v>12</v>
      </c>
      <c r="B57" s="844" t="s">
        <v>189</v>
      </c>
      <c r="C57" s="844"/>
      <c r="D57" s="844"/>
      <c r="E57" s="131"/>
      <c r="F57" s="874" t="s">
        <v>28</v>
      </c>
      <c r="G57" s="874"/>
      <c r="H57" s="132">
        <v>8.0000000000000002E-3</v>
      </c>
      <c r="I57" s="134">
        <v>20</v>
      </c>
      <c r="J57" s="104">
        <f>I57/30/12*H57</f>
        <v>4.4444444444444441E-4</v>
      </c>
      <c r="K57" s="112">
        <f>ROUND(J57*$K$11,2)</f>
        <v>0.08</v>
      </c>
    </row>
    <row r="58" spans="1:15">
      <c r="A58" s="409" t="s">
        <v>14</v>
      </c>
      <c r="B58" s="844" t="s">
        <v>190</v>
      </c>
      <c r="C58" s="844"/>
      <c r="D58" s="844"/>
      <c r="E58" s="131"/>
      <c r="F58" s="875"/>
      <c r="G58" s="874"/>
      <c r="H58" s="132">
        <v>0.1</v>
      </c>
      <c r="I58" s="134">
        <v>10</v>
      </c>
      <c r="J58" s="104">
        <f>I58/30/12*H58</f>
        <v>2.7777777777777779E-3</v>
      </c>
      <c r="K58" s="112">
        <f>ROUND(J58*$K$11,2)</f>
        <v>0.48</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17.919999999999998</v>
      </c>
    </row>
    <row r="61" spans="1:15">
      <c r="A61" s="409" t="s">
        <v>12</v>
      </c>
      <c r="B61" s="328" t="s">
        <v>215</v>
      </c>
      <c r="C61" s="328"/>
      <c r="D61" s="328"/>
      <c r="E61" s="328"/>
      <c r="F61" s="328"/>
      <c r="G61" s="328"/>
      <c r="H61" s="328"/>
      <c r="I61" s="329"/>
      <c r="J61" s="332">
        <f>J60*J28</f>
        <v>3.0512013888888894E-2</v>
      </c>
      <c r="K61" s="327">
        <f>ROUND(J61*$K$11,2)</f>
        <v>5.28</v>
      </c>
    </row>
    <row r="62" spans="1:15">
      <c r="A62" s="847" t="s">
        <v>192</v>
      </c>
      <c r="B62" s="848"/>
      <c r="C62" s="848"/>
      <c r="D62" s="848"/>
      <c r="E62" s="848"/>
      <c r="F62" s="848"/>
      <c r="G62" s="848"/>
      <c r="H62" s="848"/>
      <c r="I62" s="863"/>
      <c r="J62" s="148">
        <f>SUM(J60:J61)</f>
        <v>0.13394256944444444</v>
      </c>
      <c r="K62" s="126">
        <f>SUM(K60:K61)</f>
        <v>23.2</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23.2</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23.2</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SERVENTES'!F16</f>
        <v>52.833333333333336</v>
      </c>
    </row>
    <row r="73" spans="1:13" s="109" customFormat="1" ht="12.75">
      <c r="A73" s="409" t="s">
        <v>6</v>
      </c>
      <c r="B73" s="866" t="s">
        <v>212</v>
      </c>
      <c r="C73" s="867"/>
      <c r="D73" s="867"/>
      <c r="E73" s="867"/>
      <c r="F73" s="867"/>
      <c r="G73" s="867"/>
      <c r="H73" s="867"/>
      <c r="I73" s="845">
        <v>0</v>
      </c>
      <c r="J73" s="846"/>
      <c r="K73" s="124">
        <f>MATERIAIS!K224</f>
        <v>183.33333333333334</v>
      </c>
      <c r="L73" s="137"/>
      <c r="M73" s="111"/>
    </row>
    <row r="74" spans="1:13" s="109" customFormat="1" ht="12.75">
      <c r="A74" s="409" t="s">
        <v>10</v>
      </c>
      <c r="B74" s="866" t="s">
        <v>394</v>
      </c>
      <c r="C74" s="867"/>
      <c r="D74" s="867"/>
      <c r="E74" s="867"/>
      <c r="F74" s="867"/>
      <c r="G74" s="867"/>
      <c r="H74" s="891"/>
      <c r="I74" s="845">
        <v>0</v>
      </c>
      <c r="J74" s="846"/>
      <c r="K74" s="124">
        <f>EQUIPAMENTOS!K51</f>
        <v>0</v>
      </c>
      <c r="L74" s="137"/>
      <c r="M74" s="111"/>
    </row>
    <row r="75" spans="1:13" s="109" customFormat="1" ht="12.75">
      <c r="A75" s="847" t="s">
        <v>207</v>
      </c>
      <c r="B75" s="848"/>
      <c r="C75" s="848"/>
      <c r="D75" s="848"/>
      <c r="E75" s="848"/>
      <c r="F75" s="848"/>
      <c r="G75" s="848"/>
      <c r="H75" s="848"/>
      <c r="I75" s="863"/>
      <c r="J75" s="125"/>
      <c r="K75" s="126">
        <f>SUM(K72:K74)</f>
        <v>236.16666666666669</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0.55000000000000004</v>
      </c>
      <c r="K77" s="119">
        <f>J77*K95</f>
        <v>389.1181666666667</v>
      </c>
      <c r="L77" s="139"/>
    </row>
    <row r="78" spans="1:13" s="109" customFormat="1" ht="12.75">
      <c r="A78" s="409" t="s">
        <v>6</v>
      </c>
      <c r="B78" s="829" t="s">
        <v>32</v>
      </c>
      <c r="C78" s="829"/>
      <c r="D78" s="829"/>
      <c r="E78" s="829"/>
      <c r="F78" s="829"/>
      <c r="G78" s="829"/>
      <c r="H78" s="829"/>
      <c r="I78" s="829"/>
      <c r="J78" s="138">
        <v>0.45</v>
      </c>
      <c r="K78" s="119">
        <f>J78*(K95+K77)</f>
        <v>493.47258409090909</v>
      </c>
      <c r="L78" s="139"/>
    </row>
    <row r="79" spans="1:13" s="109" customFormat="1" ht="12.75">
      <c r="A79" s="836" t="s">
        <v>10</v>
      </c>
      <c r="B79" s="852" t="s">
        <v>33</v>
      </c>
      <c r="C79" s="853"/>
      <c r="D79" s="853"/>
      <c r="E79" s="853"/>
      <c r="F79" s="853"/>
      <c r="G79" s="853"/>
      <c r="H79" s="854"/>
      <c r="I79" s="855">
        <f>K95+K77+K78</f>
        <v>1590.0783265151515</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2.82</v>
      </c>
      <c r="J81" s="840"/>
      <c r="K81" s="841">
        <f>SUM(I81:J86)</f>
        <v>48.67</v>
      </c>
    </row>
    <row r="82" spans="1:11" s="109" customFormat="1" ht="12.75">
      <c r="A82" s="836"/>
      <c r="B82" s="844"/>
      <c r="C82" s="844"/>
      <c r="D82" s="844"/>
      <c r="E82" s="844"/>
      <c r="F82" s="413" t="s">
        <v>38</v>
      </c>
      <c r="G82" s="575">
        <v>7.9500000000000005E-3</v>
      </c>
      <c r="H82" s="838"/>
      <c r="I82" s="839">
        <f t="shared" si="1"/>
        <v>13.03</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32.82</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931.26075075757581</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173.18181818181816</v>
      </c>
    </row>
    <row r="91" spans="1:11" s="109" customFormat="1" ht="12.75">
      <c r="A91" s="409" t="s">
        <v>6</v>
      </c>
      <c r="B91" s="829" t="str">
        <f>A12</f>
        <v>MÓDULO 2 – ENCARGOS E BENEFÍCIOS ANUAIS, MENSAIS E DIÁRIOS</v>
      </c>
      <c r="C91" s="829"/>
      <c r="D91" s="829"/>
      <c r="E91" s="829"/>
      <c r="F91" s="829"/>
      <c r="G91" s="829"/>
      <c r="H91" s="829"/>
      <c r="I91" s="829"/>
      <c r="J91" s="829"/>
      <c r="K91" s="142">
        <f>K44</f>
        <v>262.86909090909091</v>
      </c>
    </row>
    <row r="92" spans="1:11" s="109" customFormat="1" ht="12.75">
      <c r="A92" s="409" t="s">
        <v>10</v>
      </c>
      <c r="B92" s="829" t="str">
        <f>A45</f>
        <v>MÓDULO 3 – PROVISÃO PARA RESCISÃO</v>
      </c>
      <c r="C92" s="829"/>
      <c r="D92" s="829"/>
      <c r="E92" s="829"/>
      <c r="F92" s="829"/>
      <c r="G92" s="829"/>
      <c r="H92" s="829"/>
      <c r="I92" s="829"/>
      <c r="J92" s="829"/>
      <c r="K92" s="142">
        <f>K51</f>
        <v>12.07</v>
      </c>
    </row>
    <row r="93" spans="1:11" s="109" customFormat="1" ht="12.75">
      <c r="A93" s="409" t="s">
        <v>12</v>
      </c>
      <c r="B93" s="829" t="str">
        <f>A52</f>
        <v>MÓDULO 4 – CUSTO DE REPOSIÇÃO DO PROFISSIONAL AUSENTE</v>
      </c>
      <c r="C93" s="829"/>
      <c r="D93" s="829"/>
      <c r="E93" s="829"/>
      <c r="F93" s="829"/>
      <c r="G93" s="829"/>
      <c r="H93" s="829"/>
      <c r="I93" s="829"/>
      <c r="J93" s="829"/>
      <c r="K93" s="142">
        <f>K62</f>
        <v>23.2</v>
      </c>
    </row>
    <row r="94" spans="1:11" s="109" customFormat="1" ht="12.75">
      <c r="A94" s="409" t="s">
        <v>14</v>
      </c>
      <c r="B94" s="829" t="str">
        <f>A71</f>
        <v>MÓDULO 5 – INSUMOS DIVERSOS</v>
      </c>
      <c r="C94" s="829"/>
      <c r="D94" s="829"/>
      <c r="E94" s="829"/>
      <c r="F94" s="829"/>
      <c r="G94" s="829"/>
      <c r="H94" s="829"/>
      <c r="I94" s="829"/>
      <c r="J94" s="829"/>
      <c r="K94" s="142">
        <f>K75</f>
        <v>236.16666666666669</v>
      </c>
    </row>
    <row r="95" spans="1:11" s="109" customFormat="1" ht="12.75">
      <c r="A95" s="830" t="s">
        <v>209</v>
      </c>
      <c r="B95" s="830"/>
      <c r="C95" s="830"/>
      <c r="D95" s="830"/>
      <c r="E95" s="830"/>
      <c r="F95" s="830"/>
      <c r="G95" s="830"/>
      <c r="H95" s="830"/>
      <c r="I95" s="830"/>
      <c r="J95" s="830"/>
      <c r="K95" s="107">
        <f>SUM(K90:K94)</f>
        <v>707.48757575757577</v>
      </c>
    </row>
    <row r="96" spans="1:11" s="109" customFormat="1" ht="12.75">
      <c r="A96" s="409" t="s">
        <v>14</v>
      </c>
      <c r="B96" s="829" t="s">
        <v>46</v>
      </c>
      <c r="C96" s="829"/>
      <c r="D96" s="829"/>
      <c r="E96" s="829"/>
      <c r="F96" s="829"/>
      <c r="G96" s="829"/>
      <c r="H96" s="829"/>
      <c r="I96" s="829"/>
      <c r="J96" s="829"/>
      <c r="K96" s="108">
        <f>K97-K95</f>
        <v>931.26242424242423</v>
      </c>
    </row>
    <row r="97" spans="1:15" s="109" customFormat="1" ht="12.75">
      <c r="A97" s="831" t="s">
        <v>47</v>
      </c>
      <c r="B97" s="831"/>
      <c r="C97" s="831"/>
      <c r="D97" s="831"/>
      <c r="E97" s="831"/>
      <c r="F97" s="831"/>
      <c r="G97" s="831"/>
      <c r="H97" s="831"/>
      <c r="I97" s="831"/>
      <c r="J97" s="831"/>
      <c r="K97" s="143">
        <f>ROUND(I79/(1-$H$81),2)</f>
        <v>1638.75</v>
      </c>
    </row>
    <row r="98" spans="1:15" s="109" customFormat="1" ht="12.75">
      <c r="A98" s="832" t="s">
        <v>214</v>
      </c>
      <c r="B98" s="821"/>
      <c r="C98" s="821"/>
      <c r="D98" s="821"/>
      <c r="E98" s="821"/>
      <c r="F98" s="821"/>
      <c r="G98" s="821"/>
      <c r="H98" s="821"/>
      <c r="I98" s="155"/>
      <c r="J98" s="407">
        <v>1</v>
      </c>
      <c r="K98" s="156">
        <f>K97</f>
        <v>1638.75</v>
      </c>
    </row>
    <row r="99" spans="1:15" s="109" customFormat="1" ht="13.5" thickBot="1">
      <c r="A99" s="905" t="s">
        <v>217</v>
      </c>
      <c r="B99" s="905"/>
      <c r="C99" s="905"/>
      <c r="D99" s="905"/>
      <c r="E99" s="816"/>
      <c r="F99" s="816"/>
      <c r="G99" s="816"/>
      <c r="H99" s="816"/>
      <c r="I99" s="905"/>
      <c r="J99" s="905"/>
      <c r="K99" s="157">
        <f>K98*12</f>
        <v>19665</v>
      </c>
    </row>
    <row r="100" spans="1:15" s="109" customFormat="1" ht="13.5" thickBot="1">
      <c r="A100" s="833" t="s">
        <v>529</v>
      </c>
      <c r="B100" s="834"/>
      <c r="C100" s="834"/>
      <c r="D100" s="834"/>
      <c r="E100" s="834"/>
      <c r="F100" s="834"/>
      <c r="G100" s="834"/>
      <c r="H100" s="834"/>
      <c r="I100" s="834"/>
      <c r="J100" s="835"/>
      <c r="K100" s="514">
        <f>(K99/12)</f>
        <v>1638.75</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0.55000000000000004</v>
      </c>
      <c r="M103" s="304"/>
      <c r="N103" s="304"/>
      <c r="O103" s="304"/>
    </row>
    <row r="104" spans="1:15" ht="15" customHeight="1">
      <c r="G104" s="161"/>
      <c r="H104" s="823" t="s">
        <v>32</v>
      </c>
      <c r="I104" s="824"/>
      <c r="J104" s="825"/>
      <c r="K104" s="163">
        <f>J78</f>
        <v>0.45</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1.3162939297124598</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75:I75"/>
    <mergeCell ref="A76:I76"/>
    <mergeCell ref="B77:I77"/>
    <mergeCell ref="A66:J66"/>
    <mergeCell ref="B67:I67"/>
    <mergeCell ref="B68:I68"/>
    <mergeCell ref="A69:I69"/>
    <mergeCell ref="A70:K70"/>
    <mergeCell ref="A71:I71"/>
    <mergeCell ref="B73:H73"/>
    <mergeCell ref="B74:H74"/>
    <mergeCell ref="I73:J73"/>
    <mergeCell ref="I74:J74"/>
    <mergeCell ref="B78:I78"/>
    <mergeCell ref="A79:A86"/>
    <mergeCell ref="B79:H79"/>
    <mergeCell ref="I79:J79"/>
    <mergeCell ref="B80:E80"/>
    <mergeCell ref="I80:J80"/>
    <mergeCell ref="B81:E83"/>
    <mergeCell ref="H81:H86"/>
    <mergeCell ref="I81:J81"/>
    <mergeCell ref="A87:J87"/>
    <mergeCell ref="A88:K88"/>
    <mergeCell ref="A89:J89"/>
    <mergeCell ref="B90:J90"/>
    <mergeCell ref="B91:J91"/>
    <mergeCell ref="B92:J92"/>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CCFF"/>
    <pageSetUpPr fitToPage="1"/>
  </sheetPr>
  <dimension ref="A1:O116"/>
  <sheetViews>
    <sheetView view="pageBreakPreview" zoomScaleNormal="100" zoomScaleSheetLayoutView="100" workbookViewId="0">
      <selection activeCell="I79" sqref="I79:J79"/>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543</v>
      </c>
      <c r="B5" s="897"/>
      <c r="C5" s="897"/>
      <c r="D5" s="897"/>
      <c r="E5" s="897"/>
      <c r="F5" s="897"/>
      <c r="G5" s="897"/>
      <c r="H5" s="897"/>
      <c r="I5" s="898" t="s">
        <v>544</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409" t="s">
        <v>4</v>
      </c>
      <c r="B8" s="890" t="s">
        <v>397</v>
      </c>
      <c r="C8" s="890"/>
      <c r="D8" s="890"/>
      <c r="E8" s="890"/>
      <c r="F8" s="890"/>
      <c r="G8" s="890"/>
      <c r="H8" s="890"/>
      <c r="I8" s="890"/>
      <c r="J8" s="890"/>
      <c r="K8" s="333">
        <f>K7/220*6*5</f>
        <v>173.18181818181816</v>
      </c>
      <c r="L8" s="326"/>
      <c r="M8" s="111"/>
    </row>
    <row r="9" spans="1:15">
      <c r="A9" s="409" t="s">
        <v>6</v>
      </c>
      <c r="B9" s="374" t="s">
        <v>433</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173.18181818181816</v>
      </c>
      <c r="L10" s="113"/>
    </row>
    <row r="11" spans="1:15">
      <c r="A11" s="892" t="s">
        <v>208</v>
      </c>
      <c r="B11" s="892"/>
      <c r="C11" s="892"/>
      <c r="D11" s="892"/>
      <c r="E11" s="892"/>
      <c r="F11" s="892"/>
      <c r="G11" s="892"/>
      <c r="H11" s="892"/>
      <c r="I11" s="892"/>
      <c r="J11" s="892"/>
      <c r="K11" s="114">
        <f>SUM(K10:K10)</f>
        <v>173.18181818181816</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14.43</v>
      </c>
    </row>
    <row r="15" spans="1:15">
      <c r="A15" s="409" t="s">
        <v>6</v>
      </c>
      <c r="B15" s="857" t="s">
        <v>164</v>
      </c>
      <c r="C15" s="858"/>
      <c r="D15" s="858"/>
      <c r="E15" s="858"/>
      <c r="F15" s="858"/>
      <c r="G15" s="858"/>
      <c r="H15" s="858"/>
      <c r="I15" s="859"/>
      <c r="J15" s="118">
        <f>J54*33.33%</f>
        <v>2.7774999999999998E-2</v>
      </c>
      <c r="K15" s="119">
        <f>ROUND($J15*K$11,2)</f>
        <v>4.8099999999999996</v>
      </c>
      <c r="M15" s="109" t="s">
        <v>233</v>
      </c>
    </row>
    <row r="16" spans="1:15">
      <c r="A16" s="409" t="s">
        <v>10</v>
      </c>
      <c r="B16" s="411" t="s">
        <v>213</v>
      </c>
      <c r="C16" s="411"/>
      <c r="D16" s="411"/>
      <c r="E16" s="411"/>
      <c r="F16" s="411"/>
      <c r="G16" s="411"/>
      <c r="H16" s="411"/>
      <c r="I16" s="412"/>
      <c r="J16" s="118">
        <f>SUM(J14:J15)</f>
        <v>0.11107499999999999</v>
      </c>
      <c r="K16" s="112">
        <f>SUM(K14:K15)</f>
        <v>19.239999999999998</v>
      </c>
    </row>
    <row r="17" spans="1:15">
      <c r="A17" s="409" t="s">
        <v>12</v>
      </c>
      <c r="B17" s="328" t="s">
        <v>398</v>
      </c>
      <c r="C17" s="328"/>
      <c r="D17" s="328"/>
      <c r="E17" s="328"/>
      <c r="F17" s="328"/>
      <c r="G17" s="328"/>
      <c r="H17" s="328"/>
      <c r="I17" s="329"/>
      <c r="J17" s="330">
        <f>J16*J28</f>
        <v>3.2767125000000001E-2</v>
      </c>
      <c r="K17" s="331">
        <f>ROUND($J17*K$11,2)</f>
        <v>5.67</v>
      </c>
    </row>
    <row r="18" spans="1:15">
      <c r="A18" s="847" t="s">
        <v>165</v>
      </c>
      <c r="B18" s="848"/>
      <c r="C18" s="848"/>
      <c r="D18" s="848"/>
      <c r="E18" s="848"/>
      <c r="F18" s="848"/>
      <c r="G18" s="848"/>
      <c r="H18" s="848"/>
      <c r="I18" s="863"/>
      <c r="J18" s="125">
        <f>SUM(J16:J17)</f>
        <v>0.14384212499999999</v>
      </c>
      <c r="K18" s="126">
        <f>SUM(K16:K17)</f>
        <v>24.909999999999997</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34.64</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13.85</v>
      </c>
      <c r="L25" s="121"/>
    </row>
    <row r="26" spans="1:15">
      <c r="A26" s="409" t="s">
        <v>15</v>
      </c>
      <c r="B26" s="844" t="s">
        <v>22</v>
      </c>
      <c r="C26" s="844"/>
      <c r="D26" s="844"/>
      <c r="E26" s="844"/>
      <c r="F26" s="410" t="s">
        <v>23</v>
      </c>
      <c r="G26" s="122">
        <v>0.03</v>
      </c>
      <c r="H26" s="410" t="s">
        <v>24</v>
      </c>
      <c r="I26" s="303">
        <v>0.5</v>
      </c>
      <c r="J26" s="104">
        <f>G26*I26</f>
        <v>1.4999999999999999E-2</v>
      </c>
      <c r="K26" s="119">
        <f t="shared" si="0"/>
        <v>2.6</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51.09</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4</v>
      </c>
      <c r="J30" s="402">
        <v>13.8</v>
      </c>
      <c r="K30" s="123">
        <f>(J30*I30)*80%</f>
        <v>44.160000000000004</v>
      </c>
    </row>
    <row r="31" spans="1:15">
      <c r="A31" s="409" t="s">
        <v>434</v>
      </c>
      <c r="B31" s="150" t="s">
        <v>435</v>
      </c>
      <c r="C31" s="151"/>
      <c r="D31" s="151"/>
      <c r="E31" s="151"/>
      <c r="F31" s="151"/>
      <c r="G31" s="151"/>
      <c r="H31" s="151"/>
      <c r="I31" s="405">
        <v>0</v>
      </c>
      <c r="J31" s="402">
        <v>0</v>
      </c>
      <c r="K31" s="123">
        <f>(J31*I31)*80%</f>
        <v>0</v>
      </c>
    </row>
    <row r="32" spans="1:15" ht="15.75" thickBot="1">
      <c r="A32" s="409" t="s">
        <v>6</v>
      </c>
      <c r="B32" s="876" t="s">
        <v>218</v>
      </c>
      <c r="C32" s="877"/>
      <c r="D32" s="877"/>
      <c r="E32" s="877"/>
      <c r="F32" s="877"/>
      <c r="G32" s="877"/>
      <c r="H32" s="152"/>
      <c r="I32" s="406">
        <v>8</v>
      </c>
      <c r="J32" s="403">
        <v>4.04</v>
      </c>
      <c r="K32" s="123">
        <f>I32*2*J32</f>
        <v>64.64</v>
      </c>
    </row>
    <row r="33" spans="1:11">
      <c r="A33" s="409" t="s">
        <v>10</v>
      </c>
      <c r="B33" s="876" t="s">
        <v>219</v>
      </c>
      <c r="C33" s="877"/>
      <c r="D33" s="877"/>
      <c r="E33" s="877"/>
      <c r="F33" s="877"/>
      <c r="G33" s="877"/>
      <c r="H33" s="877"/>
      <c r="I33" s="883"/>
      <c r="J33" s="153">
        <v>-0.06</v>
      </c>
      <c r="K33" s="154">
        <f>K8*J33</f>
        <v>-10.390909090909089</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v>0</v>
      </c>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201.90909090909093</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24.909999999999997</v>
      </c>
    </row>
    <row r="42" spans="1:11" s="109" customFormat="1" ht="12.75">
      <c r="A42" s="409" t="s">
        <v>175</v>
      </c>
      <c r="B42" s="857" t="s">
        <v>178</v>
      </c>
      <c r="C42" s="858"/>
      <c r="D42" s="858"/>
      <c r="E42" s="858"/>
      <c r="F42" s="858"/>
      <c r="G42" s="858"/>
      <c r="H42" s="858"/>
      <c r="I42" s="859"/>
      <c r="J42" s="408"/>
      <c r="K42" s="112">
        <f>K28</f>
        <v>51.09</v>
      </c>
    </row>
    <row r="43" spans="1:11" s="109" customFormat="1" ht="12.75">
      <c r="A43" s="409" t="s">
        <v>176</v>
      </c>
      <c r="B43" s="857" t="s">
        <v>180</v>
      </c>
      <c r="C43" s="858"/>
      <c r="D43" s="858"/>
      <c r="E43" s="858"/>
      <c r="F43" s="858"/>
      <c r="G43" s="858"/>
      <c r="H43" s="858"/>
      <c r="I43" s="859"/>
      <c r="J43" s="408"/>
      <c r="K43" s="112">
        <f>K39</f>
        <v>201.90909090909093</v>
      </c>
    </row>
    <row r="44" spans="1:11" s="109" customFormat="1" ht="12.75">
      <c r="A44" s="847" t="s">
        <v>179</v>
      </c>
      <c r="B44" s="848"/>
      <c r="C44" s="848"/>
      <c r="D44" s="848"/>
      <c r="E44" s="848"/>
      <c r="F44" s="848"/>
      <c r="G44" s="848"/>
      <c r="H44" s="848"/>
      <c r="I44" s="863"/>
      <c r="J44" s="125"/>
      <c r="K44" s="126">
        <f>SUM(K41:K43)</f>
        <v>277.90909090909093</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0.72</v>
      </c>
    </row>
    <row r="47" spans="1:11" s="109" customFormat="1" ht="12.75">
      <c r="A47" s="409" t="s">
        <v>6</v>
      </c>
      <c r="B47" s="844" t="s">
        <v>27</v>
      </c>
      <c r="C47" s="844"/>
      <c r="D47" s="844"/>
      <c r="E47" s="844"/>
      <c r="F47" s="844"/>
      <c r="G47" s="844"/>
      <c r="H47" s="844"/>
      <c r="I47" s="844"/>
      <c r="J47" s="118">
        <f>J25*J46</f>
        <v>3.3333333333333332E-4</v>
      </c>
      <c r="K47" s="112">
        <f>ROUND(J47*$K$11,2)</f>
        <v>0.06</v>
      </c>
    </row>
    <row r="48" spans="1:11" s="109" customFormat="1" ht="12.75">
      <c r="A48" s="409" t="s">
        <v>10</v>
      </c>
      <c r="B48" s="844" t="s">
        <v>184</v>
      </c>
      <c r="C48" s="844"/>
      <c r="D48" s="844"/>
      <c r="E48" s="844"/>
      <c r="F48" s="844"/>
      <c r="G48" s="844"/>
      <c r="H48" s="844"/>
      <c r="I48" s="844"/>
      <c r="J48" s="118">
        <f>(1/30)/12*7</f>
        <v>1.9444444444444445E-2</v>
      </c>
      <c r="K48" s="112">
        <f>ROUND(J48*$K$11,2)</f>
        <v>3.37</v>
      </c>
    </row>
    <row r="49" spans="1:15" s="109" customFormat="1" ht="12.75">
      <c r="A49" s="409" t="s">
        <v>12</v>
      </c>
      <c r="B49" s="844" t="s">
        <v>183</v>
      </c>
      <c r="C49" s="844"/>
      <c r="D49" s="844"/>
      <c r="E49" s="844"/>
      <c r="F49" s="844"/>
      <c r="G49" s="844"/>
      <c r="H49" s="844"/>
      <c r="I49" s="844"/>
      <c r="J49" s="118">
        <f>J28*J48</f>
        <v>5.736111111111112E-3</v>
      </c>
      <c r="K49" s="112">
        <f>ROUND(J49*$K$11,2)</f>
        <v>0.99</v>
      </c>
    </row>
    <row r="50" spans="1:15" s="109" customFormat="1" ht="12.75">
      <c r="A50" s="324" t="s">
        <v>14</v>
      </c>
      <c r="B50" s="411" t="s">
        <v>399</v>
      </c>
      <c r="C50" s="411"/>
      <c r="D50" s="411"/>
      <c r="E50" s="411"/>
      <c r="F50" s="411"/>
      <c r="G50" s="411"/>
      <c r="H50" s="411"/>
      <c r="I50" s="412"/>
      <c r="J50" s="118">
        <f>0.5*J25</f>
        <v>0.04</v>
      </c>
      <c r="K50" s="112">
        <f>ROUND(J50*$K$11,2)</f>
        <v>6.93</v>
      </c>
    </row>
    <row r="51" spans="1:15" s="109" customFormat="1" ht="12.75">
      <c r="A51" s="847" t="s">
        <v>181</v>
      </c>
      <c r="B51" s="848"/>
      <c r="C51" s="848"/>
      <c r="D51" s="848"/>
      <c r="E51" s="848"/>
      <c r="F51" s="848"/>
      <c r="G51" s="848"/>
      <c r="H51" s="848"/>
      <c r="I51" s="863"/>
      <c r="J51" s="125">
        <f>SUM(J46:J50)</f>
        <v>6.9680555555555551E-2</v>
      </c>
      <c r="K51" s="126">
        <f>SUM(K46:K50)</f>
        <v>12.07</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14.43</v>
      </c>
    </row>
    <row r="55" spans="1:15">
      <c r="A55" s="409" t="s">
        <v>6</v>
      </c>
      <c r="B55" s="844" t="s">
        <v>188</v>
      </c>
      <c r="C55" s="844"/>
      <c r="D55" s="844"/>
      <c r="E55" s="844"/>
      <c r="F55" s="874" t="s">
        <v>29</v>
      </c>
      <c r="G55" s="874"/>
      <c r="H55" s="874"/>
      <c r="I55" s="131">
        <v>6</v>
      </c>
      <c r="J55" s="104">
        <f>I55/30/12</f>
        <v>1.6666666666666666E-2</v>
      </c>
      <c r="K55" s="112">
        <f>ROUND(J55*$K$11,2)</f>
        <v>2.89</v>
      </c>
    </row>
    <row r="56" spans="1:15">
      <c r="A56" s="409" t="s">
        <v>10</v>
      </c>
      <c r="B56" s="844" t="s">
        <v>30</v>
      </c>
      <c r="C56" s="844"/>
      <c r="D56" s="844"/>
      <c r="E56" s="844"/>
      <c r="F56" s="874" t="s">
        <v>28</v>
      </c>
      <c r="G56" s="874"/>
      <c r="H56" s="132">
        <v>1.4999999999999999E-2</v>
      </c>
      <c r="I56" s="133">
        <v>5</v>
      </c>
      <c r="J56" s="104">
        <f>I56/30/12*H56</f>
        <v>2.0833333333333332E-4</v>
      </c>
      <c r="K56" s="112">
        <f>ROUND(J56*$K$11,2)</f>
        <v>0.04</v>
      </c>
    </row>
    <row r="57" spans="1:15">
      <c r="A57" s="409" t="s">
        <v>12</v>
      </c>
      <c r="B57" s="844" t="s">
        <v>189</v>
      </c>
      <c r="C57" s="844"/>
      <c r="D57" s="844"/>
      <c r="E57" s="131"/>
      <c r="F57" s="874" t="s">
        <v>28</v>
      </c>
      <c r="G57" s="874"/>
      <c r="H57" s="132">
        <v>8.0000000000000002E-3</v>
      </c>
      <c r="I57" s="134">
        <v>20</v>
      </c>
      <c r="J57" s="104">
        <f>I57/30/12*H57</f>
        <v>4.4444444444444441E-4</v>
      </c>
      <c r="K57" s="112">
        <f>ROUND(J57*$K$11,2)</f>
        <v>0.08</v>
      </c>
    </row>
    <row r="58" spans="1:15">
      <c r="A58" s="409" t="s">
        <v>14</v>
      </c>
      <c r="B58" s="844" t="s">
        <v>190</v>
      </c>
      <c r="C58" s="844"/>
      <c r="D58" s="844"/>
      <c r="E58" s="131"/>
      <c r="F58" s="875"/>
      <c r="G58" s="874"/>
      <c r="H58" s="132">
        <v>0.1</v>
      </c>
      <c r="I58" s="134">
        <v>10</v>
      </c>
      <c r="J58" s="104">
        <f>I58/30/12*H58</f>
        <v>2.7777777777777779E-3</v>
      </c>
      <c r="K58" s="112">
        <f>ROUND(J58*$K$11,2)</f>
        <v>0.48</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17.919999999999998</v>
      </c>
    </row>
    <row r="61" spans="1:15">
      <c r="A61" s="409" t="s">
        <v>12</v>
      </c>
      <c r="B61" s="328" t="s">
        <v>215</v>
      </c>
      <c r="C61" s="328"/>
      <c r="D61" s="328"/>
      <c r="E61" s="328"/>
      <c r="F61" s="328"/>
      <c r="G61" s="328"/>
      <c r="H61" s="328"/>
      <c r="I61" s="329"/>
      <c r="J61" s="332">
        <f>J60*J28</f>
        <v>3.0512013888888894E-2</v>
      </c>
      <c r="K61" s="327">
        <f>ROUND(J61*$K$11,2)</f>
        <v>5.28</v>
      </c>
    </row>
    <row r="62" spans="1:15">
      <c r="A62" s="847" t="s">
        <v>192</v>
      </c>
      <c r="B62" s="848"/>
      <c r="C62" s="848"/>
      <c r="D62" s="848"/>
      <c r="E62" s="848"/>
      <c r="F62" s="848"/>
      <c r="G62" s="848"/>
      <c r="H62" s="848"/>
      <c r="I62" s="863"/>
      <c r="J62" s="148">
        <f>SUM(J60:J61)</f>
        <v>0.13394256944444444</v>
      </c>
      <c r="K62" s="126">
        <f>SUM(K60:K61)</f>
        <v>23.2</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23.2</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23.2</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SERVENTES'!F16</f>
        <v>52.833333333333336</v>
      </c>
    </row>
    <row r="73" spans="1:13" s="109" customFormat="1" ht="12.75">
      <c r="A73" s="409" t="s">
        <v>6</v>
      </c>
      <c r="B73" s="866" t="s">
        <v>212</v>
      </c>
      <c r="C73" s="867"/>
      <c r="D73" s="867"/>
      <c r="E73" s="867"/>
      <c r="F73" s="867"/>
      <c r="G73" s="867"/>
      <c r="H73" s="867"/>
      <c r="I73" s="845">
        <v>0</v>
      </c>
      <c r="J73" s="846"/>
      <c r="K73" s="124">
        <f>MATERIAIS!N224</f>
        <v>236.5</v>
      </c>
      <c r="L73" s="137"/>
      <c r="M73" s="111"/>
    </row>
    <row r="74" spans="1:13" s="109" customFormat="1" ht="12.75">
      <c r="A74" s="409" t="s">
        <v>10</v>
      </c>
      <c r="B74" s="866" t="s">
        <v>394</v>
      </c>
      <c r="C74" s="867"/>
      <c r="D74" s="867"/>
      <c r="E74" s="867"/>
      <c r="F74" s="867"/>
      <c r="G74" s="867"/>
      <c r="H74" s="867"/>
      <c r="I74" s="845">
        <v>0</v>
      </c>
      <c r="J74" s="846"/>
      <c r="K74" s="124">
        <f>EQUIPAMENTOS!N51</f>
        <v>0</v>
      </c>
      <c r="L74" s="137"/>
      <c r="M74" s="111"/>
    </row>
    <row r="75" spans="1:13" s="109" customFormat="1" ht="12.75">
      <c r="A75" s="847" t="s">
        <v>207</v>
      </c>
      <c r="B75" s="848"/>
      <c r="C75" s="848"/>
      <c r="D75" s="848"/>
      <c r="E75" s="848"/>
      <c r="F75" s="848"/>
      <c r="G75" s="848"/>
      <c r="H75" s="848"/>
      <c r="I75" s="863"/>
      <c r="J75" s="125"/>
      <c r="K75" s="126">
        <f>SUM(K72:K74)</f>
        <v>289.33333333333331</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0.5</v>
      </c>
      <c r="K77" s="119">
        <f>J77*K95</f>
        <v>387.84712121212124</v>
      </c>
      <c r="L77" s="139"/>
    </row>
    <row r="78" spans="1:13" s="109" customFormat="1" ht="12.75">
      <c r="A78" s="409" t="s">
        <v>6</v>
      </c>
      <c r="B78" s="829" t="s">
        <v>32</v>
      </c>
      <c r="C78" s="829"/>
      <c r="D78" s="829"/>
      <c r="E78" s="829"/>
      <c r="F78" s="829"/>
      <c r="G78" s="829"/>
      <c r="H78" s="829"/>
      <c r="I78" s="829"/>
      <c r="J78" s="138">
        <v>0.4</v>
      </c>
      <c r="K78" s="119">
        <f>J78*(K95+K77)</f>
        <v>465.41654545454548</v>
      </c>
      <c r="L78" s="139"/>
    </row>
    <row r="79" spans="1:13" s="109" customFormat="1" ht="12.75">
      <c r="A79" s="836" t="s">
        <v>10</v>
      </c>
      <c r="B79" s="852" t="s">
        <v>33</v>
      </c>
      <c r="C79" s="853"/>
      <c r="D79" s="853"/>
      <c r="E79" s="853"/>
      <c r="F79" s="853"/>
      <c r="G79" s="853"/>
      <c r="H79" s="854"/>
      <c r="I79" s="855">
        <f>K95+K77+K78</f>
        <v>1628.9579090909092</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2.89</v>
      </c>
      <c r="J81" s="840"/>
      <c r="K81" s="841">
        <f>SUM(I81:J86)</f>
        <v>49.870000000000005</v>
      </c>
    </row>
    <row r="82" spans="1:11" s="109" customFormat="1" ht="12.75">
      <c r="A82" s="836"/>
      <c r="B82" s="844"/>
      <c r="C82" s="844"/>
      <c r="D82" s="844"/>
      <c r="E82" s="844"/>
      <c r="F82" s="413" t="s">
        <v>38</v>
      </c>
      <c r="G82" s="575">
        <v>7.9500000000000005E-3</v>
      </c>
      <c r="H82" s="838"/>
      <c r="I82" s="839">
        <f t="shared" si="1"/>
        <v>13.35</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33.630000000000003</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903.13366666666673</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173.18181818181816</v>
      </c>
    </row>
    <row r="91" spans="1:11" s="109" customFormat="1" ht="12.75">
      <c r="A91" s="409" t="s">
        <v>6</v>
      </c>
      <c r="B91" s="829" t="str">
        <f>A12</f>
        <v>MÓDULO 2 – ENCARGOS E BENEFÍCIOS ANUAIS, MENSAIS E DIÁRIOS</v>
      </c>
      <c r="C91" s="829"/>
      <c r="D91" s="829"/>
      <c r="E91" s="829"/>
      <c r="F91" s="829"/>
      <c r="G91" s="829"/>
      <c r="H91" s="829"/>
      <c r="I91" s="829"/>
      <c r="J91" s="829"/>
      <c r="K91" s="142">
        <f>K44</f>
        <v>277.90909090909093</v>
      </c>
    </row>
    <row r="92" spans="1:11" s="109" customFormat="1" ht="12.75">
      <c r="A92" s="409" t="s">
        <v>10</v>
      </c>
      <c r="B92" s="829" t="str">
        <f>A45</f>
        <v>MÓDULO 3 – PROVISÃO PARA RESCISÃO</v>
      </c>
      <c r="C92" s="829"/>
      <c r="D92" s="829"/>
      <c r="E92" s="829"/>
      <c r="F92" s="829"/>
      <c r="G92" s="829"/>
      <c r="H92" s="829"/>
      <c r="I92" s="829"/>
      <c r="J92" s="829"/>
      <c r="K92" s="142">
        <f>K51</f>
        <v>12.07</v>
      </c>
    </row>
    <row r="93" spans="1:11" s="109" customFormat="1" ht="12.75">
      <c r="A93" s="409" t="s">
        <v>12</v>
      </c>
      <c r="B93" s="829" t="str">
        <f>A52</f>
        <v>MÓDULO 4 – CUSTO DE REPOSIÇÃO DO PROFISSIONAL AUSENTE</v>
      </c>
      <c r="C93" s="829"/>
      <c r="D93" s="829"/>
      <c r="E93" s="829"/>
      <c r="F93" s="829"/>
      <c r="G93" s="829"/>
      <c r="H93" s="829"/>
      <c r="I93" s="829"/>
      <c r="J93" s="829"/>
      <c r="K93" s="142">
        <f>K62</f>
        <v>23.2</v>
      </c>
    </row>
    <row r="94" spans="1:11" s="109" customFormat="1" ht="12.75">
      <c r="A94" s="409" t="s">
        <v>14</v>
      </c>
      <c r="B94" s="829" t="str">
        <f>A71</f>
        <v>MÓDULO 5 – INSUMOS DIVERSOS</v>
      </c>
      <c r="C94" s="829"/>
      <c r="D94" s="829"/>
      <c r="E94" s="829"/>
      <c r="F94" s="829"/>
      <c r="G94" s="829"/>
      <c r="H94" s="829"/>
      <c r="I94" s="829"/>
      <c r="J94" s="829"/>
      <c r="K94" s="142">
        <f>K75</f>
        <v>289.33333333333331</v>
      </c>
    </row>
    <row r="95" spans="1:11" s="109" customFormat="1" ht="12.75">
      <c r="A95" s="830" t="s">
        <v>209</v>
      </c>
      <c r="B95" s="830"/>
      <c r="C95" s="830"/>
      <c r="D95" s="830"/>
      <c r="E95" s="830"/>
      <c r="F95" s="830"/>
      <c r="G95" s="830"/>
      <c r="H95" s="830"/>
      <c r="I95" s="830"/>
      <c r="J95" s="830"/>
      <c r="K95" s="107">
        <f>SUM(K90:K94)</f>
        <v>775.69424242424247</v>
      </c>
    </row>
    <row r="96" spans="1:11" s="109" customFormat="1" ht="12.75">
      <c r="A96" s="409" t="s">
        <v>14</v>
      </c>
      <c r="B96" s="829" t="s">
        <v>46</v>
      </c>
      <c r="C96" s="829"/>
      <c r="D96" s="829"/>
      <c r="E96" s="829"/>
      <c r="F96" s="829"/>
      <c r="G96" s="829"/>
      <c r="H96" s="829"/>
      <c r="I96" s="829"/>
      <c r="J96" s="829"/>
      <c r="K96" s="108">
        <f>K97-K95</f>
        <v>903.12575757575746</v>
      </c>
    </row>
    <row r="97" spans="1:15" s="109" customFormat="1" ht="12.75">
      <c r="A97" s="831" t="s">
        <v>47</v>
      </c>
      <c r="B97" s="831"/>
      <c r="C97" s="831"/>
      <c r="D97" s="831"/>
      <c r="E97" s="831"/>
      <c r="F97" s="831"/>
      <c r="G97" s="831"/>
      <c r="H97" s="831"/>
      <c r="I97" s="831"/>
      <c r="J97" s="831"/>
      <c r="K97" s="143">
        <f>ROUND(I79/(1-$H$81),2)</f>
        <v>1678.82</v>
      </c>
    </row>
    <row r="98" spans="1:15" s="109" customFormat="1" ht="12.75">
      <c r="A98" s="832" t="s">
        <v>214</v>
      </c>
      <c r="B98" s="821"/>
      <c r="C98" s="821"/>
      <c r="D98" s="821"/>
      <c r="E98" s="821"/>
      <c r="F98" s="821"/>
      <c r="G98" s="821"/>
      <c r="H98" s="821"/>
      <c r="I98" s="155"/>
      <c r="J98" s="407">
        <v>1</v>
      </c>
      <c r="K98" s="156">
        <f>K97</f>
        <v>1678.82</v>
      </c>
    </row>
    <row r="99" spans="1:15" s="109" customFormat="1" ht="13.5" thickBot="1">
      <c r="A99" s="905" t="s">
        <v>217</v>
      </c>
      <c r="B99" s="905"/>
      <c r="C99" s="905"/>
      <c r="D99" s="905"/>
      <c r="E99" s="816"/>
      <c r="F99" s="816"/>
      <c r="G99" s="816"/>
      <c r="H99" s="816"/>
      <c r="I99" s="905"/>
      <c r="J99" s="905"/>
      <c r="K99" s="157">
        <f>K98*12</f>
        <v>20145.84</v>
      </c>
    </row>
    <row r="100" spans="1:15" s="109" customFormat="1" ht="13.5" thickBot="1">
      <c r="A100" s="833" t="s">
        <v>529</v>
      </c>
      <c r="B100" s="834"/>
      <c r="C100" s="834"/>
      <c r="D100" s="834"/>
      <c r="E100" s="834"/>
      <c r="F100" s="834"/>
      <c r="G100" s="834"/>
      <c r="H100" s="834"/>
      <c r="I100" s="834"/>
      <c r="J100" s="835"/>
      <c r="K100" s="514">
        <f>(K99/12)</f>
        <v>1678.82</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0.5</v>
      </c>
      <c r="M103" s="304"/>
      <c r="N103" s="304"/>
      <c r="O103" s="304"/>
    </row>
    <row r="104" spans="1:15" ht="15" customHeight="1">
      <c r="G104" s="161"/>
      <c r="H104" s="823" t="s">
        <v>32</v>
      </c>
      <c r="I104" s="824"/>
      <c r="J104" s="825"/>
      <c r="K104" s="163">
        <f>J78</f>
        <v>0.4</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1.164279088941564</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75:I75"/>
    <mergeCell ref="A76:I76"/>
    <mergeCell ref="B77:I77"/>
    <mergeCell ref="A66:J66"/>
    <mergeCell ref="B67:I67"/>
    <mergeCell ref="B68:I68"/>
    <mergeCell ref="A69:I69"/>
    <mergeCell ref="A70:K70"/>
    <mergeCell ref="A71:I71"/>
    <mergeCell ref="B73:H73"/>
    <mergeCell ref="I73:J73"/>
    <mergeCell ref="B74:H74"/>
    <mergeCell ref="I74:J74"/>
    <mergeCell ref="B78:I78"/>
    <mergeCell ref="A79:A86"/>
    <mergeCell ref="B79:H79"/>
    <mergeCell ref="I79:J79"/>
    <mergeCell ref="B80:E80"/>
    <mergeCell ref="I80:J80"/>
    <mergeCell ref="B81:E83"/>
    <mergeCell ref="H81:H86"/>
    <mergeCell ref="I81:J81"/>
    <mergeCell ref="A87:J87"/>
    <mergeCell ref="A88:K88"/>
    <mergeCell ref="A89:J89"/>
    <mergeCell ref="B90:J90"/>
    <mergeCell ref="B91:J91"/>
    <mergeCell ref="B92:J92"/>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CCFF"/>
    <pageSetUpPr fitToPage="1"/>
  </sheetPr>
  <dimension ref="A1:O116"/>
  <sheetViews>
    <sheetView view="pageBreakPreview" zoomScaleNormal="100" zoomScaleSheetLayoutView="100" workbookViewId="0">
      <selection activeCell="J78" sqref="J78"/>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545</v>
      </c>
      <c r="B5" s="897"/>
      <c r="C5" s="897"/>
      <c r="D5" s="897"/>
      <c r="E5" s="897"/>
      <c r="F5" s="897"/>
      <c r="G5" s="897"/>
      <c r="H5" s="897"/>
      <c r="I5" s="898" t="s">
        <v>546</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409" t="s">
        <v>4</v>
      </c>
      <c r="B8" s="890" t="s">
        <v>397</v>
      </c>
      <c r="C8" s="890"/>
      <c r="D8" s="890"/>
      <c r="E8" s="890"/>
      <c r="F8" s="890"/>
      <c r="G8" s="890"/>
      <c r="H8" s="890"/>
      <c r="I8" s="890"/>
      <c r="J8" s="890"/>
      <c r="K8" s="333">
        <f>K7/220*6*5</f>
        <v>173.18181818181816</v>
      </c>
      <c r="L8" s="326"/>
      <c r="M8" s="111"/>
    </row>
    <row r="9" spans="1:15">
      <c r="A9" s="409" t="s">
        <v>6</v>
      </c>
      <c r="B9" s="374" t="s">
        <v>433</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173.18181818181816</v>
      </c>
      <c r="L10" s="113"/>
    </row>
    <row r="11" spans="1:15">
      <c r="A11" s="892" t="s">
        <v>208</v>
      </c>
      <c r="B11" s="892"/>
      <c r="C11" s="892"/>
      <c r="D11" s="892"/>
      <c r="E11" s="892"/>
      <c r="F11" s="892"/>
      <c r="G11" s="892"/>
      <c r="H11" s="892"/>
      <c r="I11" s="892"/>
      <c r="J11" s="892"/>
      <c r="K11" s="114">
        <f>SUM(K10:K10)</f>
        <v>173.18181818181816</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14.43</v>
      </c>
    </row>
    <row r="15" spans="1:15">
      <c r="A15" s="409" t="s">
        <v>6</v>
      </c>
      <c r="B15" s="857" t="s">
        <v>164</v>
      </c>
      <c r="C15" s="858"/>
      <c r="D15" s="858"/>
      <c r="E15" s="858"/>
      <c r="F15" s="858"/>
      <c r="G15" s="858"/>
      <c r="H15" s="858"/>
      <c r="I15" s="859"/>
      <c r="J15" s="118">
        <f>J54*33.33%</f>
        <v>2.7774999999999998E-2</v>
      </c>
      <c r="K15" s="119">
        <f>ROUND($J15*K$11,2)</f>
        <v>4.8099999999999996</v>
      </c>
      <c r="M15" s="109" t="s">
        <v>233</v>
      </c>
    </row>
    <row r="16" spans="1:15">
      <c r="A16" s="409" t="s">
        <v>10</v>
      </c>
      <c r="B16" s="411" t="s">
        <v>213</v>
      </c>
      <c r="C16" s="411"/>
      <c r="D16" s="411"/>
      <c r="E16" s="411"/>
      <c r="F16" s="411"/>
      <c r="G16" s="411"/>
      <c r="H16" s="411"/>
      <c r="I16" s="412"/>
      <c r="J16" s="118">
        <f>SUM(J14:J15)</f>
        <v>0.11107499999999999</v>
      </c>
      <c r="K16" s="112">
        <f>SUM(K14:K15)</f>
        <v>19.239999999999998</v>
      </c>
    </row>
    <row r="17" spans="1:15">
      <c r="A17" s="409" t="s">
        <v>12</v>
      </c>
      <c r="B17" s="328" t="s">
        <v>398</v>
      </c>
      <c r="C17" s="328"/>
      <c r="D17" s="328"/>
      <c r="E17" s="328"/>
      <c r="F17" s="328"/>
      <c r="G17" s="328"/>
      <c r="H17" s="328"/>
      <c r="I17" s="329"/>
      <c r="J17" s="330">
        <f>J16*J28</f>
        <v>3.2767125000000001E-2</v>
      </c>
      <c r="K17" s="331">
        <f>ROUND($J17*K$11,2)</f>
        <v>5.67</v>
      </c>
    </row>
    <row r="18" spans="1:15">
      <c r="A18" s="847" t="s">
        <v>165</v>
      </c>
      <c r="B18" s="848"/>
      <c r="C18" s="848"/>
      <c r="D18" s="848"/>
      <c r="E18" s="848"/>
      <c r="F18" s="848"/>
      <c r="G18" s="848"/>
      <c r="H18" s="848"/>
      <c r="I18" s="863"/>
      <c r="J18" s="125">
        <f>SUM(J16:J17)</f>
        <v>0.14384212499999999</v>
      </c>
      <c r="K18" s="126">
        <f>SUM(K16:K17)</f>
        <v>24.909999999999997</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34.64</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13.85</v>
      </c>
      <c r="L25" s="121"/>
    </row>
    <row r="26" spans="1:15">
      <c r="A26" s="409" t="s">
        <v>15</v>
      </c>
      <c r="B26" s="844" t="s">
        <v>22</v>
      </c>
      <c r="C26" s="844"/>
      <c r="D26" s="844"/>
      <c r="E26" s="844"/>
      <c r="F26" s="410" t="s">
        <v>23</v>
      </c>
      <c r="G26" s="122">
        <v>0.03</v>
      </c>
      <c r="H26" s="410" t="s">
        <v>24</v>
      </c>
      <c r="I26" s="303">
        <v>0.5</v>
      </c>
      <c r="J26" s="104">
        <f>G26*I26</f>
        <v>1.4999999999999999E-2</v>
      </c>
      <c r="K26" s="119">
        <f t="shared" si="0"/>
        <v>2.6</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51.09</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4</v>
      </c>
      <c r="J30" s="402">
        <v>13.8</v>
      </c>
      <c r="K30" s="123">
        <f>(J30*I30)*80%</f>
        <v>44.160000000000004</v>
      </c>
    </row>
    <row r="31" spans="1:15">
      <c r="A31" s="409" t="s">
        <v>434</v>
      </c>
      <c r="B31" s="150" t="s">
        <v>435</v>
      </c>
      <c r="C31" s="151"/>
      <c r="D31" s="151"/>
      <c r="E31" s="151"/>
      <c r="F31" s="151"/>
      <c r="G31" s="151"/>
      <c r="H31" s="151"/>
      <c r="I31" s="405">
        <v>0</v>
      </c>
      <c r="J31" s="402">
        <v>0</v>
      </c>
      <c r="K31" s="123">
        <f>(J31*I31)*80%</f>
        <v>0</v>
      </c>
    </row>
    <row r="32" spans="1:15" ht="15.75" thickBot="1">
      <c r="A32" s="409" t="s">
        <v>6</v>
      </c>
      <c r="B32" s="876" t="s">
        <v>218</v>
      </c>
      <c r="C32" s="877"/>
      <c r="D32" s="877"/>
      <c r="E32" s="877"/>
      <c r="F32" s="877"/>
      <c r="G32" s="877"/>
      <c r="H32" s="152"/>
      <c r="I32" s="406">
        <v>8</v>
      </c>
      <c r="J32" s="403">
        <v>3.5</v>
      </c>
      <c r="K32" s="123">
        <f>I32*2*J32</f>
        <v>56</v>
      </c>
    </row>
    <row r="33" spans="1:11">
      <c r="A33" s="409" t="s">
        <v>10</v>
      </c>
      <c r="B33" s="876" t="s">
        <v>219</v>
      </c>
      <c r="C33" s="877"/>
      <c r="D33" s="877"/>
      <c r="E33" s="877"/>
      <c r="F33" s="877"/>
      <c r="G33" s="877"/>
      <c r="H33" s="877"/>
      <c r="I33" s="883"/>
      <c r="J33" s="153">
        <v>-0.06</v>
      </c>
      <c r="K33" s="154">
        <f>K8*J33</f>
        <v>-10.390909090909089</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v>0</v>
      </c>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193.26909090909089</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24.909999999999997</v>
      </c>
    </row>
    <row r="42" spans="1:11" s="109" customFormat="1" ht="12.75">
      <c r="A42" s="409" t="s">
        <v>175</v>
      </c>
      <c r="B42" s="857" t="s">
        <v>178</v>
      </c>
      <c r="C42" s="858"/>
      <c r="D42" s="858"/>
      <c r="E42" s="858"/>
      <c r="F42" s="858"/>
      <c r="G42" s="858"/>
      <c r="H42" s="858"/>
      <c r="I42" s="859"/>
      <c r="J42" s="408"/>
      <c r="K42" s="112">
        <f>K28</f>
        <v>51.09</v>
      </c>
    </row>
    <row r="43" spans="1:11" s="109" customFormat="1" ht="12.75">
      <c r="A43" s="409" t="s">
        <v>176</v>
      </c>
      <c r="B43" s="857" t="s">
        <v>180</v>
      </c>
      <c r="C43" s="858"/>
      <c r="D43" s="858"/>
      <c r="E43" s="858"/>
      <c r="F43" s="858"/>
      <c r="G43" s="858"/>
      <c r="H43" s="858"/>
      <c r="I43" s="859"/>
      <c r="J43" s="408"/>
      <c r="K43" s="112">
        <f>K39</f>
        <v>193.26909090909089</v>
      </c>
    </row>
    <row r="44" spans="1:11" s="109" customFormat="1" ht="12.75">
      <c r="A44" s="847" t="s">
        <v>179</v>
      </c>
      <c r="B44" s="848"/>
      <c r="C44" s="848"/>
      <c r="D44" s="848"/>
      <c r="E44" s="848"/>
      <c r="F44" s="848"/>
      <c r="G44" s="848"/>
      <c r="H44" s="848"/>
      <c r="I44" s="863"/>
      <c r="J44" s="125"/>
      <c r="K44" s="126">
        <f>SUM(K41:K43)</f>
        <v>269.26909090909089</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0.72</v>
      </c>
    </row>
    <row r="47" spans="1:11" s="109" customFormat="1" ht="12.75">
      <c r="A47" s="409" t="s">
        <v>6</v>
      </c>
      <c r="B47" s="844" t="s">
        <v>27</v>
      </c>
      <c r="C47" s="844"/>
      <c r="D47" s="844"/>
      <c r="E47" s="844"/>
      <c r="F47" s="844"/>
      <c r="G47" s="844"/>
      <c r="H47" s="844"/>
      <c r="I47" s="844"/>
      <c r="J47" s="118">
        <f>J25*J46</f>
        <v>3.3333333333333332E-4</v>
      </c>
      <c r="K47" s="112">
        <f>ROUND(J47*$K$11,2)</f>
        <v>0.06</v>
      </c>
    </row>
    <row r="48" spans="1:11" s="109" customFormat="1" ht="12.75">
      <c r="A48" s="409" t="s">
        <v>10</v>
      </c>
      <c r="B48" s="844" t="s">
        <v>184</v>
      </c>
      <c r="C48" s="844"/>
      <c r="D48" s="844"/>
      <c r="E48" s="844"/>
      <c r="F48" s="844"/>
      <c r="G48" s="844"/>
      <c r="H48" s="844"/>
      <c r="I48" s="844"/>
      <c r="J48" s="118">
        <f>(1/30)/12*7</f>
        <v>1.9444444444444445E-2</v>
      </c>
      <c r="K48" s="112">
        <f>ROUND(J48*$K$11,2)</f>
        <v>3.37</v>
      </c>
    </row>
    <row r="49" spans="1:15" s="109" customFormat="1" ht="12.75">
      <c r="A49" s="409" t="s">
        <v>12</v>
      </c>
      <c r="B49" s="844" t="s">
        <v>183</v>
      </c>
      <c r="C49" s="844"/>
      <c r="D49" s="844"/>
      <c r="E49" s="844"/>
      <c r="F49" s="844"/>
      <c r="G49" s="844"/>
      <c r="H49" s="844"/>
      <c r="I49" s="844"/>
      <c r="J49" s="118">
        <f>J28*J48</f>
        <v>5.736111111111112E-3</v>
      </c>
      <c r="K49" s="112">
        <f>ROUND(J49*$K$11,2)</f>
        <v>0.99</v>
      </c>
    </row>
    <row r="50" spans="1:15" s="109" customFormat="1" ht="12.75">
      <c r="A50" s="324" t="s">
        <v>14</v>
      </c>
      <c r="B50" s="411" t="s">
        <v>399</v>
      </c>
      <c r="C50" s="411"/>
      <c r="D50" s="411"/>
      <c r="E50" s="411"/>
      <c r="F50" s="411"/>
      <c r="G50" s="411"/>
      <c r="H50" s="411"/>
      <c r="I50" s="412"/>
      <c r="J50" s="118">
        <f>0.5*J25</f>
        <v>0.04</v>
      </c>
      <c r="K50" s="112">
        <f>ROUND(J50*$K$11,2)</f>
        <v>6.93</v>
      </c>
    </row>
    <row r="51" spans="1:15" s="109" customFormat="1" ht="12.75">
      <c r="A51" s="847" t="s">
        <v>181</v>
      </c>
      <c r="B51" s="848"/>
      <c r="C51" s="848"/>
      <c r="D51" s="848"/>
      <c r="E51" s="848"/>
      <c r="F51" s="848"/>
      <c r="G51" s="848"/>
      <c r="H51" s="848"/>
      <c r="I51" s="863"/>
      <c r="J51" s="125">
        <f>SUM(J46:J50)</f>
        <v>6.9680555555555551E-2</v>
      </c>
      <c r="K51" s="126">
        <f>SUM(K46:K50)</f>
        <v>12.07</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14.43</v>
      </c>
    </row>
    <row r="55" spans="1:15">
      <c r="A55" s="409" t="s">
        <v>6</v>
      </c>
      <c r="B55" s="844" t="s">
        <v>188</v>
      </c>
      <c r="C55" s="844"/>
      <c r="D55" s="844"/>
      <c r="E55" s="844"/>
      <c r="F55" s="874" t="s">
        <v>29</v>
      </c>
      <c r="G55" s="874"/>
      <c r="H55" s="874"/>
      <c r="I55" s="131">
        <v>6</v>
      </c>
      <c r="J55" s="104">
        <f>I55/30/12</f>
        <v>1.6666666666666666E-2</v>
      </c>
      <c r="K55" s="112">
        <f>ROUND(J55*$K$11,2)</f>
        <v>2.89</v>
      </c>
    </row>
    <row r="56" spans="1:15">
      <c r="A56" s="409" t="s">
        <v>10</v>
      </c>
      <c r="B56" s="844" t="s">
        <v>30</v>
      </c>
      <c r="C56" s="844"/>
      <c r="D56" s="844"/>
      <c r="E56" s="844"/>
      <c r="F56" s="874" t="s">
        <v>28</v>
      </c>
      <c r="G56" s="874"/>
      <c r="H56" s="132">
        <v>1.4999999999999999E-2</v>
      </c>
      <c r="I56" s="133">
        <v>5</v>
      </c>
      <c r="J56" s="104">
        <f>I56/30/12*H56</f>
        <v>2.0833333333333332E-4</v>
      </c>
      <c r="K56" s="112">
        <f>ROUND(J56*$K$11,2)</f>
        <v>0.04</v>
      </c>
    </row>
    <row r="57" spans="1:15">
      <c r="A57" s="409" t="s">
        <v>12</v>
      </c>
      <c r="B57" s="844" t="s">
        <v>189</v>
      </c>
      <c r="C57" s="844"/>
      <c r="D57" s="844"/>
      <c r="E57" s="131"/>
      <c r="F57" s="874" t="s">
        <v>28</v>
      </c>
      <c r="G57" s="874"/>
      <c r="H57" s="132">
        <v>8.0000000000000002E-3</v>
      </c>
      <c r="I57" s="134">
        <v>20</v>
      </c>
      <c r="J57" s="104">
        <f>I57/30/12*H57</f>
        <v>4.4444444444444441E-4</v>
      </c>
      <c r="K57" s="112">
        <f>ROUND(J57*$K$11,2)</f>
        <v>0.08</v>
      </c>
    </row>
    <row r="58" spans="1:15">
      <c r="A58" s="409" t="s">
        <v>14</v>
      </c>
      <c r="B58" s="844" t="s">
        <v>190</v>
      </c>
      <c r="C58" s="844"/>
      <c r="D58" s="844"/>
      <c r="E58" s="131"/>
      <c r="F58" s="875"/>
      <c r="G58" s="874"/>
      <c r="H58" s="132">
        <v>0.1</v>
      </c>
      <c r="I58" s="134">
        <v>10</v>
      </c>
      <c r="J58" s="104">
        <f>I58/30/12*H58</f>
        <v>2.7777777777777779E-3</v>
      </c>
      <c r="K58" s="112">
        <f>ROUND(J58*$K$11,2)</f>
        <v>0.48</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17.919999999999998</v>
      </c>
    </row>
    <row r="61" spans="1:15">
      <c r="A61" s="409" t="s">
        <v>12</v>
      </c>
      <c r="B61" s="328" t="s">
        <v>215</v>
      </c>
      <c r="C61" s="328"/>
      <c r="D61" s="328"/>
      <c r="E61" s="328"/>
      <c r="F61" s="328"/>
      <c r="G61" s="328"/>
      <c r="H61" s="328"/>
      <c r="I61" s="329"/>
      <c r="J61" s="332">
        <f>J60*J28</f>
        <v>3.0512013888888894E-2</v>
      </c>
      <c r="K61" s="327">
        <f>ROUND(J61*$K$11,2)</f>
        <v>5.28</v>
      </c>
    </row>
    <row r="62" spans="1:15">
      <c r="A62" s="847" t="s">
        <v>192</v>
      </c>
      <c r="B62" s="848"/>
      <c r="C62" s="848"/>
      <c r="D62" s="848"/>
      <c r="E62" s="848"/>
      <c r="F62" s="848"/>
      <c r="G62" s="848"/>
      <c r="H62" s="848"/>
      <c r="I62" s="863"/>
      <c r="J62" s="148">
        <f>SUM(J60:J61)</f>
        <v>0.13394256944444444</v>
      </c>
      <c r="K62" s="126">
        <f>SUM(K60:K61)</f>
        <v>23.2</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23.2</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23.2</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SERVENTES'!F16</f>
        <v>52.833333333333336</v>
      </c>
    </row>
    <row r="73" spans="1:13" s="109" customFormat="1" ht="12.75">
      <c r="A73" s="409" t="s">
        <v>6</v>
      </c>
      <c r="B73" s="866" t="s">
        <v>212</v>
      </c>
      <c r="C73" s="867"/>
      <c r="D73" s="867"/>
      <c r="E73" s="867"/>
      <c r="F73" s="867"/>
      <c r="G73" s="867"/>
      <c r="H73" s="867"/>
      <c r="I73" s="845">
        <v>0</v>
      </c>
      <c r="J73" s="846"/>
      <c r="K73" s="124">
        <f>MATERIAIS!O224</f>
        <v>147</v>
      </c>
      <c r="L73" s="137"/>
      <c r="M73" s="111"/>
    </row>
    <row r="74" spans="1:13" s="109" customFormat="1" ht="12.75">
      <c r="A74" s="409" t="s">
        <v>10</v>
      </c>
      <c r="B74" s="866" t="s">
        <v>394</v>
      </c>
      <c r="C74" s="867"/>
      <c r="D74" s="867"/>
      <c r="E74" s="867"/>
      <c r="F74" s="867"/>
      <c r="G74" s="867"/>
      <c r="H74" s="867"/>
      <c r="I74" s="845">
        <v>0</v>
      </c>
      <c r="J74" s="846"/>
      <c r="K74" s="124">
        <f>EQUIPAMENTOS!O51</f>
        <v>122.08333333333333</v>
      </c>
      <c r="L74" s="137"/>
      <c r="M74" s="111"/>
    </row>
    <row r="75" spans="1:13" s="109" customFormat="1" ht="12.75">
      <c r="A75" s="847" t="s">
        <v>207</v>
      </c>
      <c r="B75" s="848"/>
      <c r="C75" s="848"/>
      <c r="D75" s="848"/>
      <c r="E75" s="848"/>
      <c r="F75" s="848"/>
      <c r="G75" s="848"/>
      <c r="H75" s="848"/>
      <c r="I75" s="863"/>
      <c r="J75" s="125"/>
      <c r="K75" s="126">
        <f>SUM(K72:K74)</f>
        <v>321.91666666666669</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0.45</v>
      </c>
      <c r="K77" s="119">
        <f>J77*K95</f>
        <v>359.83690909090905</v>
      </c>
      <c r="L77" s="139"/>
    </row>
    <row r="78" spans="1:13" s="109" customFormat="1" ht="12.75">
      <c r="A78" s="409" t="s">
        <v>6</v>
      </c>
      <c r="B78" s="829" t="s">
        <v>32</v>
      </c>
      <c r="C78" s="829"/>
      <c r="D78" s="829"/>
      <c r="E78" s="829"/>
      <c r="F78" s="829"/>
      <c r="G78" s="829"/>
      <c r="H78" s="829"/>
      <c r="I78" s="829"/>
      <c r="J78" s="138">
        <v>0.35</v>
      </c>
      <c r="K78" s="119">
        <f>J78*(K95+K77)</f>
        <v>405.81606969696963</v>
      </c>
      <c r="L78" s="139"/>
    </row>
    <row r="79" spans="1:13" s="109" customFormat="1" ht="12.75">
      <c r="A79" s="836" t="s">
        <v>10</v>
      </c>
      <c r="B79" s="852" t="s">
        <v>33</v>
      </c>
      <c r="C79" s="853"/>
      <c r="D79" s="853"/>
      <c r="E79" s="853"/>
      <c r="F79" s="853"/>
      <c r="G79" s="853"/>
      <c r="H79" s="854"/>
      <c r="I79" s="855">
        <f>K95+K77+K78</f>
        <v>1565.2905545454544</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2.77</v>
      </c>
      <c r="J81" s="840"/>
      <c r="K81" s="841">
        <f>SUM(I81:J86)</f>
        <v>47.900000000000006</v>
      </c>
    </row>
    <row r="82" spans="1:11" s="109" customFormat="1" ht="12.75">
      <c r="A82" s="836"/>
      <c r="B82" s="844"/>
      <c r="C82" s="844"/>
      <c r="D82" s="844"/>
      <c r="E82" s="844"/>
      <c r="F82" s="413" t="s">
        <v>38</v>
      </c>
      <c r="G82" s="575">
        <v>7.9500000000000005E-3</v>
      </c>
      <c r="H82" s="838"/>
      <c r="I82" s="839">
        <f t="shared" si="1"/>
        <v>12.82</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32.31</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813.5529787878786</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173.18181818181816</v>
      </c>
    </row>
    <row r="91" spans="1:11" s="109" customFormat="1" ht="12.75">
      <c r="A91" s="409" t="s">
        <v>6</v>
      </c>
      <c r="B91" s="829" t="str">
        <f>A12</f>
        <v>MÓDULO 2 – ENCARGOS E BENEFÍCIOS ANUAIS, MENSAIS E DIÁRIOS</v>
      </c>
      <c r="C91" s="829"/>
      <c r="D91" s="829"/>
      <c r="E91" s="829"/>
      <c r="F91" s="829"/>
      <c r="G91" s="829"/>
      <c r="H91" s="829"/>
      <c r="I91" s="829"/>
      <c r="J91" s="829"/>
      <c r="K91" s="142">
        <f>K44</f>
        <v>269.26909090909089</v>
      </c>
    </row>
    <row r="92" spans="1:11" s="109" customFormat="1" ht="12.75">
      <c r="A92" s="409" t="s">
        <v>10</v>
      </c>
      <c r="B92" s="829" t="str">
        <f>A45</f>
        <v>MÓDULO 3 – PROVISÃO PARA RESCISÃO</v>
      </c>
      <c r="C92" s="829"/>
      <c r="D92" s="829"/>
      <c r="E92" s="829"/>
      <c r="F92" s="829"/>
      <c r="G92" s="829"/>
      <c r="H92" s="829"/>
      <c r="I92" s="829"/>
      <c r="J92" s="829"/>
      <c r="K92" s="142">
        <f>K51</f>
        <v>12.07</v>
      </c>
    </row>
    <row r="93" spans="1:11" s="109" customFormat="1" ht="12.75">
      <c r="A93" s="409" t="s">
        <v>12</v>
      </c>
      <c r="B93" s="829" t="str">
        <f>A52</f>
        <v>MÓDULO 4 – CUSTO DE REPOSIÇÃO DO PROFISSIONAL AUSENTE</v>
      </c>
      <c r="C93" s="829"/>
      <c r="D93" s="829"/>
      <c r="E93" s="829"/>
      <c r="F93" s="829"/>
      <c r="G93" s="829"/>
      <c r="H93" s="829"/>
      <c r="I93" s="829"/>
      <c r="J93" s="829"/>
      <c r="K93" s="142">
        <f>K62</f>
        <v>23.2</v>
      </c>
    </row>
    <row r="94" spans="1:11" s="109" customFormat="1" ht="12.75">
      <c r="A94" s="409" t="s">
        <v>14</v>
      </c>
      <c r="B94" s="829" t="str">
        <f>A71</f>
        <v>MÓDULO 5 – INSUMOS DIVERSOS</v>
      </c>
      <c r="C94" s="829"/>
      <c r="D94" s="829"/>
      <c r="E94" s="829"/>
      <c r="F94" s="829"/>
      <c r="G94" s="829"/>
      <c r="H94" s="829"/>
      <c r="I94" s="829"/>
      <c r="J94" s="829"/>
      <c r="K94" s="142">
        <f>K75</f>
        <v>321.91666666666669</v>
      </c>
    </row>
    <row r="95" spans="1:11" s="109" customFormat="1" ht="12.75">
      <c r="A95" s="830" t="s">
        <v>209</v>
      </c>
      <c r="B95" s="830"/>
      <c r="C95" s="830"/>
      <c r="D95" s="830"/>
      <c r="E95" s="830"/>
      <c r="F95" s="830"/>
      <c r="G95" s="830"/>
      <c r="H95" s="830"/>
      <c r="I95" s="830"/>
      <c r="J95" s="830"/>
      <c r="K95" s="107">
        <f>SUM(K90:K94)</f>
        <v>799.63757575757563</v>
      </c>
    </row>
    <row r="96" spans="1:11" s="109" customFormat="1" ht="12.75">
      <c r="A96" s="409" t="s">
        <v>14</v>
      </c>
      <c r="B96" s="829" t="s">
        <v>46</v>
      </c>
      <c r="C96" s="829"/>
      <c r="D96" s="829"/>
      <c r="E96" s="829"/>
      <c r="F96" s="829"/>
      <c r="G96" s="829"/>
      <c r="H96" s="829"/>
      <c r="I96" s="829"/>
      <c r="J96" s="829"/>
      <c r="K96" s="108">
        <f>K97-K95</f>
        <v>813.56242424242441</v>
      </c>
    </row>
    <row r="97" spans="1:15" s="109" customFormat="1" ht="12.75">
      <c r="A97" s="831" t="s">
        <v>47</v>
      </c>
      <c r="B97" s="831"/>
      <c r="C97" s="831"/>
      <c r="D97" s="831"/>
      <c r="E97" s="831"/>
      <c r="F97" s="831"/>
      <c r="G97" s="831"/>
      <c r="H97" s="831"/>
      <c r="I97" s="831"/>
      <c r="J97" s="831"/>
      <c r="K97" s="143">
        <f>ROUND(I79/(1-$H$81),2)</f>
        <v>1613.2</v>
      </c>
    </row>
    <row r="98" spans="1:15" s="109" customFormat="1" ht="12.75">
      <c r="A98" s="832" t="s">
        <v>214</v>
      </c>
      <c r="B98" s="821"/>
      <c r="C98" s="821"/>
      <c r="D98" s="821"/>
      <c r="E98" s="821"/>
      <c r="F98" s="821"/>
      <c r="G98" s="821"/>
      <c r="H98" s="821"/>
      <c r="I98" s="155"/>
      <c r="J98" s="407">
        <v>1</v>
      </c>
      <c r="K98" s="156">
        <f>K97</f>
        <v>1613.2</v>
      </c>
    </row>
    <row r="99" spans="1:15" s="109" customFormat="1" ht="13.5" thickBot="1">
      <c r="A99" s="905" t="s">
        <v>217</v>
      </c>
      <c r="B99" s="905"/>
      <c r="C99" s="905"/>
      <c r="D99" s="905"/>
      <c r="E99" s="816"/>
      <c r="F99" s="816"/>
      <c r="G99" s="816"/>
      <c r="H99" s="816"/>
      <c r="I99" s="905"/>
      <c r="J99" s="905"/>
      <c r="K99" s="157">
        <f>K98*12</f>
        <v>19358.400000000001</v>
      </c>
    </row>
    <row r="100" spans="1:15" s="109" customFormat="1" ht="13.5" thickBot="1">
      <c r="A100" s="833" t="s">
        <v>529</v>
      </c>
      <c r="B100" s="834"/>
      <c r="C100" s="834"/>
      <c r="D100" s="834"/>
      <c r="E100" s="834"/>
      <c r="F100" s="834"/>
      <c r="G100" s="834"/>
      <c r="H100" s="834"/>
      <c r="I100" s="834"/>
      <c r="J100" s="835"/>
      <c r="K100" s="514">
        <f>(K99/12)</f>
        <v>1613.2</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0.45</v>
      </c>
      <c r="M103" s="304"/>
      <c r="N103" s="304"/>
      <c r="O103" s="304"/>
    </row>
    <row r="104" spans="1:15" ht="15" customHeight="1">
      <c r="G104" s="161"/>
      <c r="H104" s="823" t="s">
        <v>32</v>
      </c>
      <c r="I104" s="824"/>
      <c r="J104" s="825"/>
      <c r="K104" s="163">
        <f>J78</f>
        <v>0.35</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1.0174172936205297</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75:I75"/>
    <mergeCell ref="A76:I76"/>
    <mergeCell ref="B77:I77"/>
    <mergeCell ref="A66:J66"/>
    <mergeCell ref="B67:I67"/>
    <mergeCell ref="B68:I68"/>
    <mergeCell ref="A69:I69"/>
    <mergeCell ref="A70:K70"/>
    <mergeCell ref="A71:I71"/>
    <mergeCell ref="B73:H73"/>
    <mergeCell ref="I73:J73"/>
    <mergeCell ref="B74:H74"/>
    <mergeCell ref="I74:J74"/>
    <mergeCell ref="B78:I78"/>
    <mergeCell ref="A79:A86"/>
    <mergeCell ref="B79:H79"/>
    <mergeCell ref="I79:J79"/>
    <mergeCell ref="B80:E80"/>
    <mergeCell ref="I80:J80"/>
    <mergeCell ref="B81:E83"/>
    <mergeCell ref="H81:H86"/>
    <mergeCell ref="I81:J81"/>
    <mergeCell ref="A87:J87"/>
    <mergeCell ref="A88:K88"/>
    <mergeCell ref="A89:J89"/>
    <mergeCell ref="B90:J90"/>
    <mergeCell ref="B91:J91"/>
    <mergeCell ref="B92:J92"/>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66CCFF"/>
    <pageSetUpPr fitToPage="1"/>
  </sheetPr>
  <dimension ref="A1:O116"/>
  <sheetViews>
    <sheetView view="pageBreakPreview" zoomScaleNormal="100" zoomScaleSheetLayoutView="100" workbookViewId="0">
      <selection activeCell="I79" sqref="I79:J79"/>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547</v>
      </c>
      <c r="B5" s="897"/>
      <c r="C5" s="897"/>
      <c r="D5" s="897"/>
      <c r="E5" s="897"/>
      <c r="F5" s="897"/>
      <c r="G5" s="897"/>
      <c r="H5" s="897"/>
      <c r="I5" s="898" t="s">
        <v>548</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409" t="s">
        <v>4</v>
      </c>
      <c r="B8" s="890" t="s">
        <v>397</v>
      </c>
      <c r="C8" s="890"/>
      <c r="D8" s="890"/>
      <c r="E8" s="890"/>
      <c r="F8" s="890"/>
      <c r="G8" s="890"/>
      <c r="H8" s="890"/>
      <c r="I8" s="890"/>
      <c r="J8" s="890"/>
      <c r="K8" s="333">
        <f>K7/220*6*5</f>
        <v>173.18181818181816</v>
      </c>
      <c r="L8" s="326"/>
      <c r="M8" s="111"/>
    </row>
    <row r="9" spans="1:15">
      <c r="A9" s="409" t="s">
        <v>6</v>
      </c>
      <c r="B9" s="374" t="s">
        <v>433</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173.18181818181816</v>
      </c>
      <c r="L10" s="113"/>
    </row>
    <row r="11" spans="1:15">
      <c r="A11" s="892" t="s">
        <v>208</v>
      </c>
      <c r="B11" s="892"/>
      <c r="C11" s="892"/>
      <c r="D11" s="892"/>
      <c r="E11" s="892"/>
      <c r="F11" s="892"/>
      <c r="G11" s="892"/>
      <c r="H11" s="892"/>
      <c r="I11" s="892"/>
      <c r="J11" s="892"/>
      <c r="K11" s="114">
        <f>SUM(K10:K10)</f>
        <v>173.18181818181816</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14.43</v>
      </c>
    </row>
    <row r="15" spans="1:15">
      <c r="A15" s="409" t="s">
        <v>6</v>
      </c>
      <c r="B15" s="857" t="s">
        <v>164</v>
      </c>
      <c r="C15" s="858"/>
      <c r="D15" s="858"/>
      <c r="E15" s="858"/>
      <c r="F15" s="858"/>
      <c r="G15" s="858"/>
      <c r="H15" s="858"/>
      <c r="I15" s="859"/>
      <c r="J15" s="118">
        <f>J54*33.33%</f>
        <v>2.7774999999999998E-2</v>
      </c>
      <c r="K15" s="119">
        <f>ROUND($J15*K$11,2)</f>
        <v>4.8099999999999996</v>
      </c>
      <c r="M15" s="109" t="s">
        <v>233</v>
      </c>
    </row>
    <row r="16" spans="1:15">
      <c r="A16" s="409" t="s">
        <v>10</v>
      </c>
      <c r="B16" s="411" t="s">
        <v>213</v>
      </c>
      <c r="C16" s="411"/>
      <c r="D16" s="411"/>
      <c r="E16" s="411"/>
      <c r="F16" s="411"/>
      <c r="G16" s="411"/>
      <c r="H16" s="411"/>
      <c r="I16" s="412"/>
      <c r="J16" s="118">
        <f>SUM(J14:J15)</f>
        <v>0.11107499999999999</v>
      </c>
      <c r="K16" s="112">
        <f>SUM(K14:K15)</f>
        <v>19.239999999999998</v>
      </c>
    </row>
    <row r="17" spans="1:15">
      <c r="A17" s="409" t="s">
        <v>12</v>
      </c>
      <c r="B17" s="328" t="s">
        <v>398</v>
      </c>
      <c r="C17" s="328"/>
      <c r="D17" s="328"/>
      <c r="E17" s="328"/>
      <c r="F17" s="328"/>
      <c r="G17" s="328"/>
      <c r="H17" s="328"/>
      <c r="I17" s="329"/>
      <c r="J17" s="330">
        <f>J16*J28</f>
        <v>3.2767125000000001E-2</v>
      </c>
      <c r="K17" s="331">
        <f>ROUND($J17*K$11,2)</f>
        <v>5.67</v>
      </c>
    </row>
    <row r="18" spans="1:15">
      <c r="A18" s="847" t="s">
        <v>165</v>
      </c>
      <c r="B18" s="848"/>
      <c r="C18" s="848"/>
      <c r="D18" s="848"/>
      <c r="E18" s="848"/>
      <c r="F18" s="848"/>
      <c r="G18" s="848"/>
      <c r="H18" s="848"/>
      <c r="I18" s="863"/>
      <c r="J18" s="125">
        <f>SUM(J16:J17)</f>
        <v>0.14384212499999999</v>
      </c>
      <c r="K18" s="126">
        <f>SUM(K16:K17)</f>
        <v>24.909999999999997</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34.64</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13.85</v>
      </c>
      <c r="L25" s="121"/>
    </row>
    <row r="26" spans="1:15">
      <c r="A26" s="409" t="s">
        <v>15</v>
      </c>
      <c r="B26" s="844" t="s">
        <v>22</v>
      </c>
      <c r="C26" s="844"/>
      <c r="D26" s="844"/>
      <c r="E26" s="844"/>
      <c r="F26" s="410" t="s">
        <v>23</v>
      </c>
      <c r="G26" s="122">
        <v>0.03</v>
      </c>
      <c r="H26" s="410" t="s">
        <v>24</v>
      </c>
      <c r="I26" s="303">
        <v>0.5</v>
      </c>
      <c r="J26" s="104">
        <f>G26*I26</f>
        <v>1.4999999999999999E-2</v>
      </c>
      <c r="K26" s="119">
        <f t="shared" si="0"/>
        <v>2.6</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51.09</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4</v>
      </c>
      <c r="J30" s="402">
        <v>13.8</v>
      </c>
      <c r="K30" s="123">
        <f>(J30*I30)*80%</f>
        <v>44.160000000000004</v>
      </c>
    </row>
    <row r="31" spans="1:15">
      <c r="A31" s="409" t="s">
        <v>434</v>
      </c>
      <c r="B31" s="150" t="s">
        <v>435</v>
      </c>
      <c r="C31" s="151"/>
      <c r="D31" s="151"/>
      <c r="E31" s="151"/>
      <c r="F31" s="151"/>
      <c r="G31" s="151"/>
      <c r="H31" s="151"/>
      <c r="I31" s="405">
        <v>0</v>
      </c>
      <c r="J31" s="402">
        <v>0</v>
      </c>
      <c r="K31" s="123">
        <f>(J31*I31)*80%</f>
        <v>0</v>
      </c>
    </row>
    <row r="32" spans="1:15" ht="15.75" thickBot="1">
      <c r="A32" s="409" t="s">
        <v>6</v>
      </c>
      <c r="B32" s="876" t="s">
        <v>218</v>
      </c>
      <c r="C32" s="877"/>
      <c r="D32" s="877"/>
      <c r="E32" s="877"/>
      <c r="F32" s="877"/>
      <c r="G32" s="877"/>
      <c r="H32" s="152"/>
      <c r="I32" s="406">
        <v>8</v>
      </c>
      <c r="J32" s="403">
        <v>4.3</v>
      </c>
      <c r="K32" s="123">
        <f>I32*2*J32</f>
        <v>68.8</v>
      </c>
    </row>
    <row r="33" spans="1:11">
      <c r="A33" s="409" t="s">
        <v>10</v>
      </c>
      <c r="B33" s="876" t="s">
        <v>219</v>
      </c>
      <c r="C33" s="877"/>
      <c r="D33" s="877"/>
      <c r="E33" s="877"/>
      <c r="F33" s="877"/>
      <c r="G33" s="877"/>
      <c r="H33" s="877"/>
      <c r="I33" s="883"/>
      <c r="J33" s="153">
        <v>-0.06</v>
      </c>
      <c r="K33" s="154">
        <f>K8*J33</f>
        <v>-10.390909090909089</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v>0</v>
      </c>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206.0690909090909</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24.909999999999997</v>
      </c>
    </row>
    <row r="42" spans="1:11" s="109" customFormat="1" ht="12.75">
      <c r="A42" s="409" t="s">
        <v>175</v>
      </c>
      <c r="B42" s="857" t="s">
        <v>178</v>
      </c>
      <c r="C42" s="858"/>
      <c r="D42" s="858"/>
      <c r="E42" s="858"/>
      <c r="F42" s="858"/>
      <c r="G42" s="858"/>
      <c r="H42" s="858"/>
      <c r="I42" s="859"/>
      <c r="J42" s="408"/>
      <c r="K42" s="112">
        <f>K28</f>
        <v>51.09</v>
      </c>
    </row>
    <row r="43" spans="1:11" s="109" customFormat="1" ht="12.75">
      <c r="A43" s="409" t="s">
        <v>176</v>
      </c>
      <c r="B43" s="857" t="s">
        <v>180</v>
      </c>
      <c r="C43" s="858"/>
      <c r="D43" s="858"/>
      <c r="E43" s="858"/>
      <c r="F43" s="858"/>
      <c r="G43" s="858"/>
      <c r="H43" s="858"/>
      <c r="I43" s="859"/>
      <c r="J43" s="408"/>
      <c r="K43" s="112">
        <f>K39</f>
        <v>206.0690909090909</v>
      </c>
    </row>
    <row r="44" spans="1:11" s="109" customFormat="1" ht="12.75">
      <c r="A44" s="847" t="s">
        <v>179</v>
      </c>
      <c r="B44" s="848"/>
      <c r="C44" s="848"/>
      <c r="D44" s="848"/>
      <c r="E44" s="848"/>
      <c r="F44" s="848"/>
      <c r="G44" s="848"/>
      <c r="H44" s="848"/>
      <c r="I44" s="863"/>
      <c r="J44" s="125"/>
      <c r="K44" s="126">
        <f>SUM(K41:K43)</f>
        <v>282.0690909090909</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0.72</v>
      </c>
    </row>
    <row r="47" spans="1:11" s="109" customFormat="1" ht="12.75">
      <c r="A47" s="409" t="s">
        <v>6</v>
      </c>
      <c r="B47" s="844" t="s">
        <v>27</v>
      </c>
      <c r="C47" s="844"/>
      <c r="D47" s="844"/>
      <c r="E47" s="844"/>
      <c r="F47" s="844"/>
      <c r="G47" s="844"/>
      <c r="H47" s="844"/>
      <c r="I47" s="844"/>
      <c r="J47" s="118">
        <f>J25*J46</f>
        <v>3.3333333333333332E-4</v>
      </c>
      <c r="K47" s="112">
        <f>ROUND(J47*$K$11,2)</f>
        <v>0.06</v>
      </c>
    </row>
    <row r="48" spans="1:11" s="109" customFormat="1" ht="12.75">
      <c r="A48" s="409" t="s">
        <v>10</v>
      </c>
      <c r="B48" s="844" t="s">
        <v>184</v>
      </c>
      <c r="C48" s="844"/>
      <c r="D48" s="844"/>
      <c r="E48" s="844"/>
      <c r="F48" s="844"/>
      <c r="G48" s="844"/>
      <c r="H48" s="844"/>
      <c r="I48" s="844"/>
      <c r="J48" s="118">
        <f>(1/30)/12*7</f>
        <v>1.9444444444444445E-2</v>
      </c>
      <c r="K48" s="112">
        <f>ROUND(J48*$K$11,2)</f>
        <v>3.37</v>
      </c>
    </row>
    <row r="49" spans="1:15" s="109" customFormat="1" ht="12.75">
      <c r="A49" s="409" t="s">
        <v>12</v>
      </c>
      <c r="B49" s="844" t="s">
        <v>183</v>
      </c>
      <c r="C49" s="844"/>
      <c r="D49" s="844"/>
      <c r="E49" s="844"/>
      <c r="F49" s="844"/>
      <c r="G49" s="844"/>
      <c r="H49" s="844"/>
      <c r="I49" s="844"/>
      <c r="J49" s="118">
        <f>J28*J48</f>
        <v>5.736111111111112E-3</v>
      </c>
      <c r="K49" s="112">
        <f>ROUND(J49*$K$11,2)</f>
        <v>0.99</v>
      </c>
    </row>
    <row r="50" spans="1:15" s="109" customFormat="1" ht="12.75">
      <c r="A50" s="324" t="s">
        <v>14</v>
      </c>
      <c r="B50" s="411" t="s">
        <v>399</v>
      </c>
      <c r="C50" s="411"/>
      <c r="D50" s="411"/>
      <c r="E50" s="411"/>
      <c r="F50" s="411"/>
      <c r="G50" s="411"/>
      <c r="H50" s="411"/>
      <c r="I50" s="412"/>
      <c r="J50" s="118">
        <f>0.5*J25</f>
        <v>0.04</v>
      </c>
      <c r="K50" s="112">
        <f>ROUND(J50*$K$11,2)</f>
        <v>6.93</v>
      </c>
    </row>
    <row r="51" spans="1:15" s="109" customFormat="1" ht="12.75">
      <c r="A51" s="847" t="s">
        <v>181</v>
      </c>
      <c r="B51" s="848"/>
      <c r="C51" s="848"/>
      <c r="D51" s="848"/>
      <c r="E51" s="848"/>
      <c r="F51" s="848"/>
      <c r="G51" s="848"/>
      <c r="H51" s="848"/>
      <c r="I51" s="863"/>
      <c r="J51" s="125">
        <f>SUM(J46:J50)</f>
        <v>6.9680555555555551E-2</v>
      </c>
      <c r="K51" s="126">
        <f>SUM(K46:K50)</f>
        <v>12.07</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14.43</v>
      </c>
    </row>
    <row r="55" spans="1:15">
      <c r="A55" s="409" t="s">
        <v>6</v>
      </c>
      <c r="B55" s="844" t="s">
        <v>188</v>
      </c>
      <c r="C55" s="844"/>
      <c r="D55" s="844"/>
      <c r="E55" s="844"/>
      <c r="F55" s="874" t="s">
        <v>29</v>
      </c>
      <c r="G55" s="874"/>
      <c r="H55" s="874"/>
      <c r="I55" s="131">
        <v>6</v>
      </c>
      <c r="J55" s="104">
        <f>I55/30/12</f>
        <v>1.6666666666666666E-2</v>
      </c>
      <c r="K55" s="112">
        <f>ROUND(J55*$K$11,2)</f>
        <v>2.89</v>
      </c>
    </row>
    <row r="56" spans="1:15">
      <c r="A56" s="409" t="s">
        <v>10</v>
      </c>
      <c r="B56" s="844" t="s">
        <v>30</v>
      </c>
      <c r="C56" s="844"/>
      <c r="D56" s="844"/>
      <c r="E56" s="844"/>
      <c r="F56" s="874" t="s">
        <v>28</v>
      </c>
      <c r="G56" s="874"/>
      <c r="H56" s="132">
        <v>1.4999999999999999E-2</v>
      </c>
      <c r="I56" s="133">
        <v>5</v>
      </c>
      <c r="J56" s="104">
        <f>I56/30/12*H56</f>
        <v>2.0833333333333332E-4</v>
      </c>
      <c r="K56" s="112">
        <f>ROUND(J56*$K$11,2)</f>
        <v>0.04</v>
      </c>
    </row>
    <row r="57" spans="1:15">
      <c r="A57" s="409" t="s">
        <v>12</v>
      </c>
      <c r="B57" s="844" t="s">
        <v>189</v>
      </c>
      <c r="C57" s="844"/>
      <c r="D57" s="844"/>
      <c r="E57" s="131"/>
      <c r="F57" s="874" t="s">
        <v>28</v>
      </c>
      <c r="G57" s="874"/>
      <c r="H57" s="132">
        <v>8.0000000000000002E-3</v>
      </c>
      <c r="I57" s="134">
        <v>20</v>
      </c>
      <c r="J57" s="104">
        <f>I57/30/12*H57</f>
        <v>4.4444444444444441E-4</v>
      </c>
      <c r="K57" s="112">
        <f>ROUND(J57*$K$11,2)</f>
        <v>0.08</v>
      </c>
    </row>
    <row r="58" spans="1:15">
      <c r="A58" s="409" t="s">
        <v>14</v>
      </c>
      <c r="B58" s="844" t="s">
        <v>190</v>
      </c>
      <c r="C58" s="844"/>
      <c r="D58" s="844"/>
      <c r="E58" s="131"/>
      <c r="F58" s="875"/>
      <c r="G58" s="874"/>
      <c r="H58" s="132">
        <v>0.1</v>
      </c>
      <c r="I58" s="134">
        <v>10</v>
      </c>
      <c r="J58" s="104">
        <f>I58/30/12*H58</f>
        <v>2.7777777777777779E-3</v>
      </c>
      <c r="K58" s="112">
        <f>ROUND(J58*$K$11,2)</f>
        <v>0.48</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17.919999999999998</v>
      </c>
    </row>
    <row r="61" spans="1:15">
      <c r="A61" s="409" t="s">
        <v>12</v>
      </c>
      <c r="B61" s="328" t="s">
        <v>215</v>
      </c>
      <c r="C61" s="328"/>
      <c r="D61" s="328"/>
      <c r="E61" s="328"/>
      <c r="F61" s="328"/>
      <c r="G61" s="328"/>
      <c r="H61" s="328"/>
      <c r="I61" s="329"/>
      <c r="J61" s="332">
        <f>J60*J28</f>
        <v>3.0512013888888894E-2</v>
      </c>
      <c r="K61" s="327">
        <f>ROUND(J61*$K$11,2)</f>
        <v>5.28</v>
      </c>
    </row>
    <row r="62" spans="1:15">
      <c r="A62" s="847" t="s">
        <v>192</v>
      </c>
      <c r="B62" s="848"/>
      <c r="C62" s="848"/>
      <c r="D62" s="848"/>
      <c r="E62" s="848"/>
      <c r="F62" s="848"/>
      <c r="G62" s="848"/>
      <c r="H62" s="848"/>
      <c r="I62" s="863"/>
      <c r="J62" s="148">
        <f>SUM(J60:J61)</f>
        <v>0.13394256944444444</v>
      </c>
      <c r="K62" s="126">
        <f>SUM(K60:K61)</f>
        <v>23.2</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23.2</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23.2</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SERVENTES'!F16</f>
        <v>52.833333333333336</v>
      </c>
    </row>
    <row r="73" spans="1:13" s="109" customFormat="1" ht="12.75">
      <c r="A73" s="409" t="s">
        <v>6</v>
      </c>
      <c r="B73" s="866" t="s">
        <v>212</v>
      </c>
      <c r="C73" s="867"/>
      <c r="D73" s="867"/>
      <c r="E73" s="867"/>
      <c r="F73" s="867"/>
      <c r="G73" s="867"/>
      <c r="H73" s="867"/>
      <c r="I73" s="845">
        <v>0</v>
      </c>
      <c r="J73" s="846"/>
      <c r="K73" s="124">
        <f>MATERIAIS!P224</f>
        <v>263.58333333333331</v>
      </c>
      <c r="L73" s="137"/>
      <c r="M73" s="111"/>
    </row>
    <row r="74" spans="1:13" s="109" customFormat="1" ht="12.75">
      <c r="A74" s="409" t="s">
        <v>10</v>
      </c>
      <c r="B74" s="866" t="s">
        <v>394</v>
      </c>
      <c r="C74" s="867"/>
      <c r="D74" s="867"/>
      <c r="E74" s="867"/>
      <c r="F74" s="867"/>
      <c r="G74" s="867"/>
      <c r="H74" s="867"/>
      <c r="I74" s="845">
        <v>0</v>
      </c>
      <c r="J74" s="846"/>
      <c r="K74" s="124">
        <f>EQUIPAMENTOS!P51</f>
        <v>87.25</v>
      </c>
      <c r="L74" s="137"/>
      <c r="M74" s="111"/>
    </row>
    <row r="75" spans="1:13" s="109" customFormat="1" ht="12.75">
      <c r="A75" s="847" t="s">
        <v>207</v>
      </c>
      <c r="B75" s="848"/>
      <c r="C75" s="848"/>
      <c r="D75" s="848"/>
      <c r="E75" s="848"/>
      <c r="F75" s="848"/>
      <c r="G75" s="848"/>
      <c r="H75" s="848"/>
      <c r="I75" s="863"/>
      <c r="J75" s="125"/>
      <c r="K75" s="126">
        <f>SUM(K72:K74)</f>
        <v>403.66666666666663</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0.4</v>
      </c>
      <c r="K77" s="119">
        <f>J77*K95</f>
        <v>357.67503030303033</v>
      </c>
      <c r="L77" s="139"/>
    </row>
    <row r="78" spans="1:13" s="109" customFormat="1" ht="12.75">
      <c r="A78" s="409" t="s">
        <v>6</v>
      </c>
      <c r="B78" s="829" t="s">
        <v>32</v>
      </c>
      <c r="C78" s="829"/>
      <c r="D78" s="829"/>
      <c r="E78" s="829"/>
      <c r="F78" s="829"/>
      <c r="G78" s="829"/>
      <c r="H78" s="829"/>
      <c r="I78" s="829"/>
      <c r="J78" s="138">
        <v>0.3</v>
      </c>
      <c r="K78" s="119">
        <f>J78*(K95+K77)</f>
        <v>375.55878181818184</v>
      </c>
      <c r="L78" s="139"/>
    </row>
    <row r="79" spans="1:13" s="109" customFormat="1" ht="12.75">
      <c r="A79" s="836" t="s">
        <v>10</v>
      </c>
      <c r="B79" s="852" t="s">
        <v>33</v>
      </c>
      <c r="C79" s="853"/>
      <c r="D79" s="853"/>
      <c r="E79" s="853"/>
      <c r="F79" s="853"/>
      <c r="G79" s="853"/>
      <c r="H79" s="854"/>
      <c r="I79" s="855">
        <f>K95+K77+K78</f>
        <v>1627.421387878788</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2.88</v>
      </c>
      <c r="J81" s="840"/>
      <c r="K81" s="841">
        <f>SUM(I81:J86)</f>
        <v>49.81</v>
      </c>
    </row>
    <row r="82" spans="1:11" s="109" customFormat="1" ht="12.75">
      <c r="A82" s="836"/>
      <c r="B82" s="844"/>
      <c r="C82" s="844"/>
      <c r="D82" s="844"/>
      <c r="E82" s="844"/>
      <c r="F82" s="413" t="s">
        <v>38</v>
      </c>
      <c r="G82" s="575">
        <v>7.9500000000000005E-3</v>
      </c>
      <c r="H82" s="838"/>
      <c r="I82" s="839">
        <f t="shared" si="1"/>
        <v>13.33</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33.6</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783.04381212121211</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173.18181818181816</v>
      </c>
    </row>
    <row r="91" spans="1:11" s="109" customFormat="1" ht="12.75">
      <c r="A91" s="409" t="s">
        <v>6</v>
      </c>
      <c r="B91" s="829" t="str">
        <f>A12</f>
        <v>MÓDULO 2 – ENCARGOS E BENEFÍCIOS ANUAIS, MENSAIS E DIÁRIOS</v>
      </c>
      <c r="C91" s="829"/>
      <c r="D91" s="829"/>
      <c r="E91" s="829"/>
      <c r="F91" s="829"/>
      <c r="G91" s="829"/>
      <c r="H91" s="829"/>
      <c r="I91" s="829"/>
      <c r="J91" s="829"/>
      <c r="K91" s="142">
        <f>K44</f>
        <v>282.0690909090909</v>
      </c>
    </row>
    <row r="92" spans="1:11" s="109" customFormat="1" ht="12.75">
      <c r="A92" s="409" t="s">
        <v>10</v>
      </c>
      <c r="B92" s="829" t="str">
        <f>A45</f>
        <v>MÓDULO 3 – PROVISÃO PARA RESCISÃO</v>
      </c>
      <c r="C92" s="829"/>
      <c r="D92" s="829"/>
      <c r="E92" s="829"/>
      <c r="F92" s="829"/>
      <c r="G92" s="829"/>
      <c r="H92" s="829"/>
      <c r="I92" s="829"/>
      <c r="J92" s="829"/>
      <c r="K92" s="142">
        <f>K51</f>
        <v>12.07</v>
      </c>
    </row>
    <row r="93" spans="1:11" s="109" customFormat="1" ht="12.75">
      <c r="A93" s="409" t="s">
        <v>12</v>
      </c>
      <c r="B93" s="829" t="str">
        <f>A52</f>
        <v>MÓDULO 4 – CUSTO DE REPOSIÇÃO DO PROFISSIONAL AUSENTE</v>
      </c>
      <c r="C93" s="829"/>
      <c r="D93" s="829"/>
      <c r="E93" s="829"/>
      <c r="F93" s="829"/>
      <c r="G93" s="829"/>
      <c r="H93" s="829"/>
      <c r="I93" s="829"/>
      <c r="J93" s="829"/>
      <c r="K93" s="142">
        <f>K62</f>
        <v>23.2</v>
      </c>
    </row>
    <row r="94" spans="1:11" s="109" customFormat="1" ht="12.75">
      <c r="A94" s="409" t="s">
        <v>14</v>
      </c>
      <c r="B94" s="829" t="str">
        <f>A71</f>
        <v>MÓDULO 5 – INSUMOS DIVERSOS</v>
      </c>
      <c r="C94" s="829"/>
      <c r="D94" s="829"/>
      <c r="E94" s="829"/>
      <c r="F94" s="829"/>
      <c r="G94" s="829"/>
      <c r="H94" s="829"/>
      <c r="I94" s="829"/>
      <c r="J94" s="829"/>
      <c r="K94" s="142">
        <f>K75</f>
        <v>403.66666666666663</v>
      </c>
    </row>
    <row r="95" spans="1:11" s="109" customFormat="1" ht="12.75">
      <c r="A95" s="830" t="s">
        <v>209</v>
      </c>
      <c r="B95" s="830"/>
      <c r="C95" s="830"/>
      <c r="D95" s="830"/>
      <c r="E95" s="830"/>
      <c r="F95" s="830"/>
      <c r="G95" s="830"/>
      <c r="H95" s="830"/>
      <c r="I95" s="830"/>
      <c r="J95" s="830"/>
      <c r="K95" s="107">
        <f>SUM(K90:K94)</f>
        <v>894.1875757575757</v>
      </c>
    </row>
    <row r="96" spans="1:11" s="109" customFormat="1" ht="12.75">
      <c r="A96" s="409" t="s">
        <v>14</v>
      </c>
      <c r="B96" s="829" t="s">
        <v>46</v>
      </c>
      <c r="C96" s="829"/>
      <c r="D96" s="829"/>
      <c r="E96" s="829"/>
      <c r="F96" s="829"/>
      <c r="G96" s="829"/>
      <c r="H96" s="829"/>
      <c r="I96" s="829"/>
      <c r="J96" s="829"/>
      <c r="K96" s="108">
        <f>K97-K95</f>
        <v>783.05242424242431</v>
      </c>
    </row>
    <row r="97" spans="1:15" s="109" customFormat="1" ht="12.75">
      <c r="A97" s="831" t="s">
        <v>47</v>
      </c>
      <c r="B97" s="831"/>
      <c r="C97" s="831"/>
      <c r="D97" s="831"/>
      <c r="E97" s="831"/>
      <c r="F97" s="831"/>
      <c r="G97" s="831"/>
      <c r="H97" s="831"/>
      <c r="I97" s="831"/>
      <c r="J97" s="831"/>
      <c r="K97" s="143">
        <f>ROUND(I79/(1-$H$81),2)</f>
        <v>1677.24</v>
      </c>
    </row>
    <row r="98" spans="1:15" s="109" customFormat="1" ht="12.75">
      <c r="A98" s="832" t="s">
        <v>214</v>
      </c>
      <c r="B98" s="821"/>
      <c r="C98" s="821"/>
      <c r="D98" s="821"/>
      <c r="E98" s="821"/>
      <c r="F98" s="821"/>
      <c r="G98" s="821"/>
      <c r="H98" s="821"/>
      <c r="I98" s="155"/>
      <c r="J98" s="407">
        <v>1</v>
      </c>
      <c r="K98" s="156">
        <f>K97</f>
        <v>1677.24</v>
      </c>
    </row>
    <row r="99" spans="1:15" s="109" customFormat="1" ht="13.5" thickBot="1">
      <c r="A99" s="905" t="s">
        <v>217</v>
      </c>
      <c r="B99" s="905"/>
      <c r="C99" s="905"/>
      <c r="D99" s="905"/>
      <c r="E99" s="816"/>
      <c r="F99" s="816"/>
      <c r="G99" s="816"/>
      <c r="H99" s="816"/>
      <c r="I99" s="905"/>
      <c r="J99" s="905"/>
      <c r="K99" s="157">
        <f>K98*12</f>
        <v>20126.88</v>
      </c>
    </row>
    <row r="100" spans="1:15" s="109" customFormat="1" ht="13.5" thickBot="1">
      <c r="A100" s="833" t="s">
        <v>529</v>
      </c>
      <c r="B100" s="834"/>
      <c r="C100" s="834"/>
      <c r="D100" s="834"/>
      <c r="E100" s="834"/>
      <c r="F100" s="834"/>
      <c r="G100" s="834"/>
      <c r="H100" s="834"/>
      <c r="I100" s="834"/>
      <c r="J100" s="835"/>
      <c r="K100" s="514">
        <f>(K99/12)</f>
        <v>1677.24</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0.4</v>
      </c>
      <c r="M103" s="304"/>
      <c r="N103" s="304"/>
      <c r="O103" s="304"/>
    </row>
    <row r="104" spans="1:15" ht="15" customHeight="1">
      <c r="G104" s="161"/>
      <c r="H104" s="823" t="s">
        <v>32</v>
      </c>
      <c r="I104" s="824"/>
      <c r="J104" s="825"/>
      <c r="K104" s="163">
        <f>J78</f>
        <v>0.3</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0.87570854374935569</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75:I75"/>
    <mergeCell ref="A76:I76"/>
    <mergeCell ref="B77:I77"/>
    <mergeCell ref="A66:J66"/>
    <mergeCell ref="B67:I67"/>
    <mergeCell ref="B68:I68"/>
    <mergeCell ref="A69:I69"/>
    <mergeCell ref="A70:K70"/>
    <mergeCell ref="A71:I71"/>
    <mergeCell ref="B73:H73"/>
    <mergeCell ref="I73:J73"/>
    <mergeCell ref="B74:H74"/>
    <mergeCell ref="I74:J74"/>
    <mergeCell ref="B78:I78"/>
    <mergeCell ref="A79:A86"/>
    <mergeCell ref="B79:H79"/>
    <mergeCell ref="I79:J79"/>
    <mergeCell ref="B80:E80"/>
    <mergeCell ref="I80:J80"/>
    <mergeCell ref="B81:E83"/>
    <mergeCell ref="H81:H86"/>
    <mergeCell ref="I81:J81"/>
    <mergeCell ref="A87:J87"/>
    <mergeCell ref="A88:K88"/>
    <mergeCell ref="A89:J89"/>
    <mergeCell ref="B90:J90"/>
    <mergeCell ref="B91:J91"/>
    <mergeCell ref="B92:J92"/>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66CCFF"/>
    <pageSetUpPr fitToPage="1"/>
  </sheetPr>
  <dimension ref="A1:O116"/>
  <sheetViews>
    <sheetView view="pageBreakPreview" zoomScaleNormal="100" zoomScaleSheetLayoutView="100" workbookViewId="0">
      <selection activeCell="I79" sqref="I79:J79"/>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549</v>
      </c>
      <c r="B5" s="897"/>
      <c r="C5" s="897"/>
      <c r="D5" s="897"/>
      <c r="E5" s="897"/>
      <c r="F5" s="897"/>
      <c r="G5" s="897"/>
      <c r="H5" s="897"/>
      <c r="I5" s="898" t="s">
        <v>550</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409" t="s">
        <v>4</v>
      </c>
      <c r="B8" s="890" t="s">
        <v>397</v>
      </c>
      <c r="C8" s="890"/>
      <c r="D8" s="890"/>
      <c r="E8" s="890"/>
      <c r="F8" s="890"/>
      <c r="G8" s="890"/>
      <c r="H8" s="890"/>
      <c r="I8" s="890"/>
      <c r="J8" s="890"/>
      <c r="K8" s="333">
        <f>K7/220*6*5</f>
        <v>173.18181818181816</v>
      </c>
      <c r="L8" s="326"/>
      <c r="M8" s="111"/>
    </row>
    <row r="9" spans="1:15">
      <c r="A9" s="409" t="s">
        <v>6</v>
      </c>
      <c r="B9" s="374" t="s">
        <v>433</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173.18181818181816</v>
      </c>
      <c r="L10" s="113"/>
    </row>
    <row r="11" spans="1:15">
      <c r="A11" s="892" t="s">
        <v>208</v>
      </c>
      <c r="B11" s="892"/>
      <c r="C11" s="892"/>
      <c r="D11" s="892"/>
      <c r="E11" s="892"/>
      <c r="F11" s="892"/>
      <c r="G11" s="892"/>
      <c r="H11" s="892"/>
      <c r="I11" s="892"/>
      <c r="J11" s="892"/>
      <c r="K11" s="114">
        <f>SUM(K10:K10)</f>
        <v>173.18181818181816</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14.43</v>
      </c>
    </row>
    <row r="15" spans="1:15">
      <c r="A15" s="409" t="s">
        <v>6</v>
      </c>
      <c r="B15" s="857" t="s">
        <v>164</v>
      </c>
      <c r="C15" s="858"/>
      <c r="D15" s="858"/>
      <c r="E15" s="858"/>
      <c r="F15" s="858"/>
      <c r="G15" s="858"/>
      <c r="H15" s="858"/>
      <c r="I15" s="859"/>
      <c r="J15" s="118">
        <f>J54*33.33%</f>
        <v>2.7774999999999998E-2</v>
      </c>
      <c r="K15" s="119">
        <f>ROUND($J15*K$11,2)</f>
        <v>4.8099999999999996</v>
      </c>
      <c r="M15" s="109" t="s">
        <v>233</v>
      </c>
    </row>
    <row r="16" spans="1:15">
      <c r="A16" s="409" t="s">
        <v>10</v>
      </c>
      <c r="B16" s="411" t="s">
        <v>213</v>
      </c>
      <c r="C16" s="411"/>
      <c r="D16" s="411"/>
      <c r="E16" s="411"/>
      <c r="F16" s="411"/>
      <c r="G16" s="411"/>
      <c r="H16" s="411"/>
      <c r="I16" s="412"/>
      <c r="J16" s="118">
        <f>SUM(J14:J15)</f>
        <v>0.11107499999999999</v>
      </c>
      <c r="K16" s="112">
        <f>SUM(K14:K15)</f>
        <v>19.239999999999998</v>
      </c>
    </row>
    <row r="17" spans="1:15">
      <c r="A17" s="409" t="s">
        <v>12</v>
      </c>
      <c r="B17" s="328" t="s">
        <v>398</v>
      </c>
      <c r="C17" s="328"/>
      <c r="D17" s="328"/>
      <c r="E17" s="328"/>
      <c r="F17" s="328"/>
      <c r="G17" s="328"/>
      <c r="H17" s="328"/>
      <c r="I17" s="329"/>
      <c r="J17" s="330">
        <f>J16*J28</f>
        <v>3.2767125000000001E-2</v>
      </c>
      <c r="K17" s="331">
        <f>ROUND($J17*K$11,2)</f>
        <v>5.67</v>
      </c>
    </row>
    <row r="18" spans="1:15">
      <c r="A18" s="847" t="s">
        <v>165</v>
      </c>
      <c r="B18" s="848"/>
      <c r="C18" s="848"/>
      <c r="D18" s="848"/>
      <c r="E18" s="848"/>
      <c r="F18" s="848"/>
      <c r="G18" s="848"/>
      <c r="H18" s="848"/>
      <c r="I18" s="863"/>
      <c r="J18" s="125">
        <f>SUM(J16:J17)</f>
        <v>0.14384212499999999</v>
      </c>
      <c r="K18" s="126">
        <f>SUM(K16:K17)</f>
        <v>24.909999999999997</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34.64</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13.85</v>
      </c>
      <c r="L25" s="121"/>
    </row>
    <row r="26" spans="1:15">
      <c r="A26" s="409" t="s">
        <v>15</v>
      </c>
      <c r="B26" s="844" t="s">
        <v>22</v>
      </c>
      <c r="C26" s="844"/>
      <c r="D26" s="844"/>
      <c r="E26" s="844"/>
      <c r="F26" s="410" t="s">
        <v>23</v>
      </c>
      <c r="G26" s="122">
        <v>0.03</v>
      </c>
      <c r="H26" s="410" t="s">
        <v>24</v>
      </c>
      <c r="I26" s="303">
        <v>0.5</v>
      </c>
      <c r="J26" s="104">
        <f>G26*I26</f>
        <v>1.4999999999999999E-2</v>
      </c>
      <c r="K26" s="119">
        <f t="shared" si="0"/>
        <v>2.6</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51.09</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4</v>
      </c>
      <c r="J30" s="402">
        <v>13.8</v>
      </c>
      <c r="K30" s="123">
        <f>(J30*I30)*80%</f>
        <v>44.160000000000004</v>
      </c>
    </row>
    <row r="31" spans="1:15">
      <c r="A31" s="409" t="s">
        <v>434</v>
      </c>
      <c r="B31" s="150" t="s">
        <v>435</v>
      </c>
      <c r="C31" s="151"/>
      <c r="D31" s="151"/>
      <c r="E31" s="151"/>
      <c r="F31" s="151"/>
      <c r="G31" s="151"/>
      <c r="H31" s="151"/>
      <c r="I31" s="405">
        <v>0</v>
      </c>
      <c r="J31" s="402">
        <v>0</v>
      </c>
      <c r="K31" s="123">
        <f>(J31*I31)*80%</f>
        <v>0</v>
      </c>
    </row>
    <row r="32" spans="1:15" ht="15.75" thickBot="1">
      <c r="A32" s="409" t="s">
        <v>6</v>
      </c>
      <c r="B32" s="876" t="s">
        <v>218</v>
      </c>
      <c r="C32" s="877"/>
      <c r="D32" s="877"/>
      <c r="E32" s="877"/>
      <c r="F32" s="877"/>
      <c r="G32" s="877"/>
      <c r="H32" s="152"/>
      <c r="I32" s="406">
        <v>8</v>
      </c>
      <c r="J32" s="403">
        <v>2.9</v>
      </c>
      <c r="K32" s="123">
        <f>I32*2*J32</f>
        <v>46.4</v>
      </c>
    </row>
    <row r="33" spans="1:11">
      <c r="A33" s="409" t="s">
        <v>10</v>
      </c>
      <c r="B33" s="876" t="s">
        <v>219</v>
      </c>
      <c r="C33" s="877"/>
      <c r="D33" s="877"/>
      <c r="E33" s="877"/>
      <c r="F33" s="877"/>
      <c r="G33" s="877"/>
      <c r="H33" s="877"/>
      <c r="I33" s="883"/>
      <c r="J33" s="153">
        <v>-0.06</v>
      </c>
      <c r="K33" s="154">
        <f>K8*J33</f>
        <v>-10.390909090909089</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v>0</v>
      </c>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183.66909090909093</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24.909999999999997</v>
      </c>
    </row>
    <row r="42" spans="1:11" s="109" customFormat="1" ht="12.75">
      <c r="A42" s="409" t="s">
        <v>175</v>
      </c>
      <c r="B42" s="857" t="s">
        <v>178</v>
      </c>
      <c r="C42" s="858"/>
      <c r="D42" s="858"/>
      <c r="E42" s="858"/>
      <c r="F42" s="858"/>
      <c r="G42" s="858"/>
      <c r="H42" s="858"/>
      <c r="I42" s="859"/>
      <c r="J42" s="408"/>
      <c r="K42" s="112">
        <f>K28</f>
        <v>51.09</v>
      </c>
    </row>
    <row r="43" spans="1:11" s="109" customFormat="1" ht="12.75">
      <c r="A43" s="409" t="s">
        <v>176</v>
      </c>
      <c r="B43" s="857" t="s">
        <v>180</v>
      </c>
      <c r="C43" s="858"/>
      <c r="D43" s="858"/>
      <c r="E43" s="858"/>
      <c r="F43" s="858"/>
      <c r="G43" s="858"/>
      <c r="H43" s="858"/>
      <c r="I43" s="859"/>
      <c r="J43" s="408"/>
      <c r="K43" s="112">
        <f>K39</f>
        <v>183.66909090909093</v>
      </c>
    </row>
    <row r="44" spans="1:11" s="109" customFormat="1" ht="12.75">
      <c r="A44" s="847" t="s">
        <v>179</v>
      </c>
      <c r="B44" s="848"/>
      <c r="C44" s="848"/>
      <c r="D44" s="848"/>
      <c r="E44" s="848"/>
      <c r="F44" s="848"/>
      <c r="G44" s="848"/>
      <c r="H44" s="848"/>
      <c r="I44" s="863"/>
      <c r="J44" s="125"/>
      <c r="K44" s="126">
        <f>SUM(K41:K43)</f>
        <v>259.66909090909093</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0.72</v>
      </c>
    </row>
    <row r="47" spans="1:11" s="109" customFormat="1" ht="12.75">
      <c r="A47" s="409" t="s">
        <v>6</v>
      </c>
      <c r="B47" s="844" t="s">
        <v>27</v>
      </c>
      <c r="C47" s="844"/>
      <c r="D47" s="844"/>
      <c r="E47" s="844"/>
      <c r="F47" s="844"/>
      <c r="G47" s="844"/>
      <c r="H47" s="844"/>
      <c r="I47" s="844"/>
      <c r="J47" s="118">
        <f>J25*J46</f>
        <v>3.3333333333333332E-4</v>
      </c>
      <c r="K47" s="112">
        <f>ROUND(J47*$K$11,2)</f>
        <v>0.06</v>
      </c>
    </row>
    <row r="48" spans="1:11" s="109" customFormat="1" ht="12.75">
      <c r="A48" s="409" t="s">
        <v>10</v>
      </c>
      <c r="B48" s="844" t="s">
        <v>184</v>
      </c>
      <c r="C48" s="844"/>
      <c r="D48" s="844"/>
      <c r="E48" s="844"/>
      <c r="F48" s="844"/>
      <c r="G48" s="844"/>
      <c r="H48" s="844"/>
      <c r="I48" s="844"/>
      <c r="J48" s="118">
        <f>(1/30)/12*7</f>
        <v>1.9444444444444445E-2</v>
      </c>
      <c r="K48" s="112">
        <f>ROUND(J48*$K$11,2)</f>
        <v>3.37</v>
      </c>
    </row>
    <row r="49" spans="1:15" s="109" customFormat="1" ht="12.75">
      <c r="A49" s="409" t="s">
        <v>12</v>
      </c>
      <c r="B49" s="844" t="s">
        <v>183</v>
      </c>
      <c r="C49" s="844"/>
      <c r="D49" s="844"/>
      <c r="E49" s="844"/>
      <c r="F49" s="844"/>
      <c r="G49" s="844"/>
      <c r="H49" s="844"/>
      <c r="I49" s="844"/>
      <c r="J49" s="118">
        <f>J28*J48</f>
        <v>5.736111111111112E-3</v>
      </c>
      <c r="K49" s="112">
        <f>ROUND(J49*$K$11,2)</f>
        <v>0.99</v>
      </c>
    </row>
    <row r="50" spans="1:15" s="109" customFormat="1" ht="12.75">
      <c r="A50" s="324" t="s">
        <v>14</v>
      </c>
      <c r="B50" s="411" t="s">
        <v>399</v>
      </c>
      <c r="C50" s="411"/>
      <c r="D50" s="411"/>
      <c r="E50" s="411"/>
      <c r="F50" s="411"/>
      <c r="G50" s="411"/>
      <c r="H50" s="411"/>
      <c r="I50" s="412"/>
      <c r="J50" s="118">
        <f>0.5*J25</f>
        <v>0.04</v>
      </c>
      <c r="K50" s="112">
        <f>ROUND(J50*$K$11,2)</f>
        <v>6.93</v>
      </c>
    </row>
    <row r="51" spans="1:15" s="109" customFormat="1" ht="12.75">
      <c r="A51" s="847" t="s">
        <v>181</v>
      </c>
      <c r="B51" s="848"/>
      <c r="C51" s="848"/>
      <c r="D51" s="848"/>
      <c r="E51" s="848"/>
      <c r="F51" s="848"/>
      <c r="G51" s="848"/>
      <c r="H51" s="848"/>
      <c r="I51" s="863"/>
      <c r="J51" s="125">
        <f>SUM(J46:J50)</f>
        <v>6.9680555555555551E-2</v>
      </c>
      <c r="K51" s="126">
        <f>SUM(K46:K50)</f>
        <v>12.07</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14.43</v>
      </c>
    </row>
    <row r="55" spans="1:15">
      <c r="A55" s="409" t="s">
        <v>6</v>
      </c>
      <c r="B55" s="844" t="s">
        <v>188</v>
      </c>
      <c r="C55" s="844"/>
      <c r="D55" s="844"/>
      <c r="E55" s="844"/>
      <c r="F55" s="874" t="s">
        <v>29</v>
      </c>
      <c r="G55" s="874"/>
      <c r="H55" s="874"/>
      <c r="I55" s="131">
        <v>6</v>
      </c>
      <c r="J55" s="104">
        <f>I55/30/12</f>
        <v>1.6666666666666666E-2</v>
      </c>
      <c r="K55" s="112">
        <f>ROUND(J55*$K$11,2)</f>
        <v>2.89</v>
      </c>
    </row>
    <row r="56" spans="1:15">
      <c r="A56" s="409" t="s">
        <v>10</v>
      </c>
      <c r="B56" s="844" t="s">
        <v>30</v>
      </c>
      <c r="C56" s="844"/>
      <c r="D56" s="844"/>
      <c r="E56" s="844"/>
      <c r="F56" s="874" t="s">
        <v>28</v>
      </c>
      <c r="G56" s="874"/>
      <c r="H56" s="132">
        <v>1.4999999999999999E-2</v>
      </c>
      <c r="I56" s="133">
        <v>5</v>
      </c>
      <c r="J56" s="104">
        <f>I56/30/12*H56</f>
        <v>2.0833333333333332E-4</v>
      </c>
      <c r="K56" s="112">
        <f>ROUND(J56*$K$11,2)</f>
        <v>0.04</v>
      </c>
    </row>
    <row r="57" spans="1:15">
      <c r="A57" s="409" t="s">
        <v>12</v>
      </c>
      <c r="B57" s="844" t="s">
        <v>189</v>
      </c>
      <c r="C57" s="844"/>
      <c r="D57" s="844"/>
      <c r="E57" s="131"/>
      <c r="F57" s="874" t="s">
        <v>28</v>
      </c>
      <c r="G57" s="874"/>
      <c r="H57" s="132">
        <v>8.0000000000000002E-3</v>
      </c>
      <c r="I57" s="134">
        <v>20</v>
      </c>
      <c r="J57" s="104">
        <f>I57/30/12*H57</f>
        <v>4.4444444444444441E-4</v>
      </c>
      <c r="K57" s="112">
        <f>ROUND(J57*$K$11,2)</f>
        <v>0.08</v>
      </c>
    </row>
    <row r="58" spans="1:15">
      <c r="A58" s="409" t="s">
        <v>14</v>
      </c>
      <c r="B58" s="844" t="s">
        <v>190</v>
      </c>
      <c r="C58" s="844"/>
      <c r="D58" s="844"/>
      <c r="E58" s="131"/>
      <c r="F58" s="875"/>
      <c r="G58" s="874"/>
      <c r="H58" s="132">
        <v>0.1</v>
      </c>
      <c r="I58" s="134">
        <v>10</v>
      </c>
      <c r="J58" s="104">
        <f>I58/30/12*H58</f>
        <v>2.7777777777777779E-3</v>
      </c>
      <c r="K58" s="112">
        <f>ROUND(J58*$K$11,2)</f>
        <v>0.48</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17.919999999999998</v>
      </c>
    </row>
    <row r="61" spans="1:15">
      <c r="A61" s="409" t="s">
        <v>12</v>
      </c>
      <c r="B61" s="328" t="s">
        <v>215</v>
      </c>
      <c r="C61" s="328"/>
      <c r="D61" s="328"/>
      <c r="E61" s="328"/>
      <c r="F61" s="328"/>
      <c r="G61" s="328"/>
      <c r="H61" s="328"/>
      <c r="I61" s="329"/>
      <c r="J61" s="332">
        <f>J60*J28</f>
        <v>3.0512013888888894E-2</v>
      </c>
      <c r="K61" s="327">
        <f>ROUND(J61*$K$11,2)</f>
        <v>5.28</v>
      </c>
    </row>
    <row r="62" spans="1:15">
      <c r="A62" s="847" t="s">
        <v>192</v>
      </c>
      <c r="B62" s="848"/>
      <c r="C62" s="848"/>
      <c r="D62" s="848"/>
      <c r="E62" s="848"/>
      <c r="F62" s="848"/>
      <c r="G62" s="848"/>
      <c r="H62" s="848"/>
      <c r="I62" s="863"/>
      <c r="J62" s="148">
        <f>SUM(J60:J61)</f>
        <v>0.13394256944444444</v>
      </c>
      <c r="K62" s="126">
        <f>SUM(K60:K61)</f>
        <v>23.2</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23.2</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23.2</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SERVENTES'!F16</f>
        <v>52.833333333333336</v>
      </c>
    </row>
    <row r="73" spans="1:13" s="109" customFormat="1" ht="12.75">
      <c r="A73" s="409" t="s">
        <v>6</v>
      </c>
      <c r="B73" s="866" t="s">
        <v>212</v>
      </c>
      <c r="C73" s="867"/>
      <c r="D73" s="867"/>
      <c r="E73" s="867"/>
      <c r="F73" s="867"/>
      <c r="G73" s="867"/>
      <c r="H73" s="867"/>
      <c r="I73" s="845">
        <v>0</v>
      </c>
      <c r="J73" s="846"/>
      <c r="K73" s="124">
        <f>MATERIAIS!Q224</f>
        <v>250.83333333333334</v>
      </c>
      <c r="L73" s="137"/>
      <c r="M73" s="111"/>
    </row>
    <row r="74" spans="1:13" s="109" customFormat="1" ht="12.75">
      <c r="A74" s="409" t="s">
        <v>10</v>
      </c>
      <c r="B74" s="866" t="s">
        <v>394</v>
      </c>
      <c r="C74" s="867"/>
      <c r="D74" s="867"/>
      <c r="E74" s="867"/>
      <c r="F74" s="867"/>
      <c r="G74" s="867"/>
      <c r="H74" s="867"/>
      <c r="I74" s="845">
        <v>0</v>
      </c>
      <c r="J74" s="846"/>
      <c r="K74" s="124">
        <f>EQUIPAMENTOS!Q51</f>
        <v>15</v>
      </c>
      <c r="L74" s="137"/>
      <c r="M74" s="111"/>
    </row>
    <row r="75" spans="1:13" s="109" customFormat="1" ht="12.75">
      <c r="A75" s="847" t="s">
        <v>207</v>
      </c>
      <c r="B75" s="848"/>
      <c r="C75" s="848"/>
      <c r="D75" s="848"/>
      <c r="E75" s="848"/>
      <c r="F75" s="848"/>
      <c r="G75" s="848"/>
      <c r="H75" s="848"/>
      <c r="I75" s="863"/>
      <c r="J75" s="125"/>
      <c r="K75" s="126">
        <f>SUM(K72:K74)</f>
        <v>318.66666666666669</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0.45</v>
      </c>
      <c r="K77" s="119">
        <f>J77*K95</f>
        <v>354.05440909090908</v>
      </c>
      <c r="L77" s="139"/>
    </row>
    <row r="78" spans="1:13" s="109" customFormat="1" ht="12.75">
      <c r="A78" s="409" t="s">
        <v>6</v>
      </c>
      <c r="B78" s="829" t="s">
        <v>32</v>
      </c>
      <c r="C78" s="829"/>
      <c r="D78" s="829"/>
      <c r="E78" s="829"/>
      <c r="F78" s="829"/>
      <c r="G78" s="829"/>
      <c r="H78" s="829"/>
      <c r="I78" s="829"/>
      <c r="J78" s="138">
        <v>0.4</v>
      </c>
      <c r="K78" s="119">
        <f>J78*(K95+K77)</f>
        <v>456.33679393939394</v>
      </c>
      <c r="L78" s="139"/>
    </row>
    <row r="79" spans="1:13" s="109" customFormat="1" ht="12.75">
      <c r="A79" s="836" t="s">
        <v>10</v>
      </c>
      <c r="B79" s="852" t="s">
        <v>33</v>
      </c>
      <c r="C79" s="853"/>
      <c r="D79" s="853"/>
      <c r="E79" s="853"/>
      <c r="F79" s="853"/>
      <c r="G79" s="853"/>
      <c r="H79" s="854"/>
      <c r="I79" s="855">
        <f>K95+K77+K78</f>
        <v>1597.1787787878789</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2.83</v>
      </c>
      <c r="J81" s="840"/>
      <c r="K81" s="841">
        <f>SUM(I81:J86)</f>
        <v>48.89</v>
      </c>
    </row>
    <row r="82" spans="1:11" s="109" customFormat="1" ht="12.75">
      <c r="A82" s="836"/>
      <c r="B82" s="844"/>
      <c r="C82" s="844"/>
      <c r="D82" s="844"/>
      <c r="E82" s="844"/>
      <c r="F82" s="413" t="s">
        <v>38</v>
      </c>
      <c r="G82" s="575">
        <v>7.9500000000000005E-3</v>
      </c>
      <c r="H82" s="838"/>
      <c r="I82" s="839">
        <f t="shared" si="1"/>
        <v>13.09</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32.97</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859.281203030303</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173.18181818181816</v>
      </c>
    </row>
    <row r="91" spans="1:11" s="109" customFormat="1" ht="12.75">
      <c r="A91" s="409" t="s">
        <v>6</v>
      </c>
      <c r="B91" s="829" t="str">
        <f>A12</f>
        <v>MÓDULO 2 – ENCARGOS E BENEFÍCIOS ANUAIS, MENSAIS E DIÁRIOS</v>
      </c>
      <c r="C91" s="829"/>
      <c r="D91" s="829"/>
      <c r="E91" s="829"/>
      <c r="F91" s="829"/>
      <c r="G91" s="829"/>
      <c r="H91" s="829"/>
      <c r="I91" s="829"/>
      <c r="J91" s="829"/>
      <c r="K91" s="142">
        <f>K44</f>
        <v>259.66909090909093</v>
      </c>
    </row>
    <row r="92" spans="1:11" s="109" customFormat="1" ht="12.75">
      <c r="A92" s="409" t="s">
        <v>10</v>
      </c>
      <c r="B92" s="829" t="str">
        <f>A45</f>
        <v>MÓDULO 3 – PROVISÃO PARA RESCISÃO</v>
      </c>
      <c r="C92" s="829"/>
      <c r="D92" s="829"/>
      <c r="E92" s="829"/>
      <c r="F92" s="829"/>
      <c r="G92" s="829"/>
      <c r="H92" s="829"/>
      <c r="I92" s="829"/>
      <c r="J92" s="829"/>
      <c r="K92" s="142">
        <f>K51</f>
        <v>12.07</v>
      </c>
    </row>
    <row r="93" spans="1:11" s="109" customFormat="1" ht="12.75">
      <c r="A93" s="409" t="s">
        <v>12</v>
      </c>
      <c r="B93" s="829" t="str">
        <f>A52</f>
        <v>MÓDULO 4 – CUSTO DE REPOSIÇÃO DO PROFISSIONAL AUSENTE</v>
      </c>
      <c r="C93" s="829"/>
      <c r="D93" s="829"/>
      <c r="E93" s="829"/>
      <c r="F93" s="829"/>
      <c r="G93" s="829"/>
      <c r="H93" s="829"/>
      <c r="I93" s="829"/>
      <c r="J93" s="829"/>
      <c r="K93" s="142">
        <f>K62</f>
        <v>23.2</v>
      </c>
    </row>
    <row r="94" spans="1:11" s="109" customFormat="1" ht="12.75">
      <c r="A94" s="409" t="s">
        <v>14</v>
      </c>
      <c r="B94" s="829" t="str">
        <f>A71</f>
        <v>MÓDULO 5 – INSUMOS DIVERSOS</v>
      </c>
      <c r="C94" s="829"/>
      <c r="D94" s="829"/>
      <c r="E94" s="829"/>
      <c r="F94" s="829"/>
      <c r="G94" s="829"/>
      <c r="H94" s="829"/>
      <c r="I94" s="829"/>
      <c r="J94" s="829"/>
      <c r="K94" s="142">
        <f>K75</f>
        <v>318.66666666666669</v>
      </c>
    </row>
    <row r="95" spans="1:11" s="109" customFormat="1" ht="12.75">
      <c r="A95" s="830" t="s">
        <v>209</v>
      </c>
      <c r="B95" s="830"/>
      <c r="C95" s="830"/>
      <c r="D95" s="830"/>
      <c r="E95" s="830"/>
      <c r="F95" s="830"/>
      <c r="G95" s="830"/>
      <c r="H95" s="830"/>
      <c r="I95" s="830"/>
      <c r="J95" s="830"/>
      <c r="K95" s="107">
        <f>SUM(K90:K94)</f>
        <v>786.78757575757572</v>
      </c>
    </row>
    <row r="96" spans="1:11" s="109" customFormat="1" ht="12.75">
      <c r="A96" s="409" t="s">
        <v>14</v>
      </c>
      <c r="B96" s="829" t="s">
        <v>46</v>
      </c>
      <c r="C96" s="829"/>
      <c r="D96" s="829"/>
      <c r="E96" s="829"/>
      <c r="F96" s="829"/>
      <c r="G96" s="829"/>
      <c r="H96" s="829"/>
      <c r="I96" s="829"/>
      <c r="J96" s="829"/>
      <c r="K96" s="108">
        <f>K97-K95</f>
        <v>859.28242424242421</v>
      </c>
    </row>
    <row r="97" spans="1:15" s="109" customFormat="1" ht="12.75">
      <c r="A97" s="831" t="s">
        <v>47</v>
      </c>
      <c r="B97" s="831"/>
      <c r="C97" s="831"/>
      <c r="D97" s="831"/>
      <c r="E97" s="831"/>
      <c r="F97" s="831"/>
      <c r="G97" s="831"/>
      <c r="H97" s="831"/>
      <c r="I97" s="831"/>
      <c r="J97" s="831"/>
      <c r="K97" s="143">
        <f>ROUND(I79/(1-$H$81),2)</f>
        <v>1646.07</v>
      </c>
    </row>
    <row r="98" spans="1:15" s="109" customFormat="1" ht="12.75">
      <c r="A98" s="832" t="s">
        <v>214</v>
      </c>
      <c r="B98" s="821"/>
      <c r="C98" s="821"/>
      <c r="D98" s="821"/>
      <c r="E98" s="821"/>
      <c r="F98" s="821"/>
      <c r="G98" s="821"/>
      <c r="H98" s="821"/>
      <c r="I98" s="155"/>
      <c r="J98" s="407">
        <v>1</v>
      </c>
      <c r="K98" s="156">
        <f>K97</f>
        <v>1646.07</v>
      </c>
    </row>
    <row r="99" spans="1:15" s="109" customFormat="1" ht="13.5" thickBot="1">
      <c r="A99" s="905" t="s">
        <v>217</v>
      </c>
      <c r="B99" s="905"/>
      <c r="C99" s="905"/>
      <c r="D99" s="905"/>
      <c r="E99" s="816"/>
      <c r="F99" s="816"/>
      <c r="G99" s="816"/>
      <c r="H99" s="816"/>
      <c r="I99" s="905"/>
      <c r="J99" s="905"/>
      <c r="K99" s="157">
        <f>K98*12</f>
        <v>19752.84</v>
      </c>
    </row>
    <row r="100" spans="1:15" s="109" customFormat="1" ht="13.5" thickBot="1">
      <c r="A100" s="833" t="s">
        <v>529</v>
      </c>
      <c r="B100" s="834"/>
      <c r="C100" s="834"/>
      <c r="D100" s="834"/>
      <c r="E100" s="834"/>
      <c r="F100" s="834"/>
      <c r="G100" s="834"/>
      <c r="H100" s="834"/>
      <c r="I100" s="834"/>
      <c r="J100" s="835"/>
      <c r="K100" s="514">
        <f>(K99/12)</f>
        <v>1646.07</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0.45</v>
      </c>
      <c r="M103" s="304"/>
      <c r="N103" s="304"/>
      <c r="O103" s="304"/>
    </row>
    <row r="104" spans="1:15" ht="15" customHeight="1">
      <c r="G104" s="161"/>
      <c r="H104" s="823" t="s">
        <v>32</v>
      </c>
      <c r="I104" s="824"/>
      <c r="J104" s="825"/>
      <c r="K104" s="163">
        <f>J78</f>
        <v>0.4</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1.092136452643512</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75:I75"/>
    <mergeCell ref="A76:I76"/>
    <mergeCell ref="B77:I77"/>
    <mergeCell ref="A66:J66"/>
    <mergeCell ref="B67:I67"/>
    <mergeCell ref="B68:I68"/>
    <mergeCell ref="A69:I69"/>
    <mergeCell ref="A70:K70"/>
    <mergeCell ref="A71:I71"/>
    <mergeCell ref="B73:H73"/>
    <mergeCell ref="I73:J73"/>
    <mergeCell ref="B74:H74"/>
    <mergeCell ref="I74:J74"/>
    <mergeCell ref="B78:I78"/>
    <mergeCell ref="A79:A86"/>
    <mergeCell ref="B79:H79"/>
    <mergeCell ref="I79:J79"/>
    <mergeCell ref="B80:E80"/>
    <mergeCell ref="I80:J80"/>
    <mergeCell ref="B81:E83"/>
    <mergeCell ref="H81:H86"/>
    <mergeCell ref="I81:J81"/>
    <mergeCell ref="A87:J87"/>
    <mergeCell ref="A88:K88"/>
    <mergeCell ref="A89:J89"/>
    <mergeCell ref="B90:J90"/>
    <mergeCell ref="B91:J91"/>
    <mergeCell ref="B92:J92"/>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66CCFF"/>
    <pageSetUpPr fitToPage="1"/>
  </sheetPr>
  <dimension ref="A1:O116"/>
  <sheetViews>
    <sheetView view="pageBreakPreview" zoomScaleNormal="100" zoomScaleSheetLayoutView="100" workbookViewId="0">
      <selection activeCell="J78" sqref="J78"/>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551</v>
      </c>
      <c r="B5" s="897"/>
      <c r="C5" s="897"/>
      <c r="D5" s="897"/>
      <c r="E5" s="897"/>
      <c r="F5" s="897"/>
      <c r="G5" s="897"/>
      <c r="H5" s="897"/>
      <c r="I5" s="898" t="s">
        <v>552</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409" t="s">
        <v>4</v>
      </c>
      <c r="B8" s="890" t="s">
        <v>397</v>
      </c>
      <c r="C8" s="890"/>
      <c r="D8" s="890"/>
      <c r="E8" s="890"/>
      <c r="F8" s="890"/>
      <c r="G8" s="890"/>
      <c r="H8" s="890"/>
      <c r="I8" s="890"/>
      <c r="J8" s="890"/>
      <c r="K8" s="333">
        <f>K7/220*6*5</f>
        <v>173.18181818181816</v>
      </c>
      <c r="L8" s="326"/>
      <c r="M8" s="111"/>
    </row>
    <row r="9" spans="1:15">
      <c r="A9" s="409" t="s">
        <v>6</v>
      </c>
      <c r="B9" s="374" t="s">
        <v>433</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173.18181818181816</v>
      </c>
      <c r="L10" s="113"/>
    </row>
    <row r="11" spans="1:15">
      <c r="A11" s="892" t="s">
        <v>208</v>
      </c>
      <c r="B11" s="892"/>
      <c r="C11" s="892"/>
      <c r="D11" s="892"/>
      <c r="E11" s="892"/>
      <c r="F11" s="892"/>
      <c r="G11" s="892"/>
      <c r="H11" s="892"/>
      <c r="I11" s="892"/>
      <c r="J11" s="892"/>
      <c r="K11" s="114">
        <f>SUM(K10:K10)</f>
        <v>173.18181818181816</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14.43</v>
      </c>
    </row>
    <row r="15" spans="1:15">
      <c r="A15" s="409" t="s">
        <v>6</v>
      </c>
      <c r="B15" s="857" t="s">
        <v>164</v>
      </c>
      <c r="C15" s="858"/>
      <c r="D15" s="858"/>
      <c r="E15" s="858"/>
      <c r="F15" s="858"/>
      <c r="G15" s="858"/>
      <c r="H15" s="858"/>
      <c r="I15" s="859"/>
      <c r="J15" s="118">
        <f>J54*33.33%</f>
        <v>2.7774999999999998E-2</v>
      </c>
      <c r="K15" s="119">
        <f>ROUND($J15*K$11,2)</f>
        <v>4.8099999999999996</v>
      </c>
      <c r="M15" s="109" t="s">
        <v>233</v>
      </c>
    </row>
    <row r="16" spans="1:15">
      <c r="A16" s="409" t="s">
        <v>10</v>
      </c>
      <c r="B16" s="411" t="s">
        <v>213</v>
      </c>
      <c r="C16" s="411"/>
      <c r="D16" s="411"/>
      <c r="E16" s="411"/>
      <c r="F16" s="411"/>
      <c r="G16" s="411"/>
      <c r="H16" s="411"/>
      <c r="I16" s="412"/>
      <c r="J16" s="118">
        <f>SUM(J14:J15)</f>
        <v>0.11107499999999999</v>
      </c>
      <c r="K16" s="112">
        <f>SUM(K14:K15)</f>
        <v>19.239999999999998</v>
      </c>
    </row>
    <row r="17" spans="1:15">
      <c r="A17" s="409" t="s">
        <v>12</v>
      </c>
      <c r="B17" s="328" t="s">
        <v>398</v>
      </c>
      <c r="C17" s="328"/>
      <c r="D17" s="328"/>
      <c r="E17" s="328"/>
      <c r="F17" s="328"/>
      <c r="G17" s="328"/>
      <c r="H17" s="328"/>
      <c r="I17" s="329"/>
      <c r="J17" s="330">
        <f>J16*J28</f>
        <v>3.2767125000000001E-2</v>
      </c>
      <c r="K17" s="331">
        <f>ROUND($J17*K$11,2)</f>
        <v>5.67</v>
      </c>
    </row>
    <row r="18" spans="1:15">
      <c r="A18" s="847" t="s">
        <v>165</v>
      </c>
      <c r="B18" s="848"/>
      <c r="C18" s="848"/>
      <c r="D18" s="848"/>
      <c r="E18" s="848"/>
      <c r="F18" s="848"/>
      <c r="G18" s="848"/>
      <c r="H18" s="848"/>
      <c r="I18" s="863"/>
      <c r="J18" s="125">
        <f>SUM(J16:J17)</f>
        <v>0.14384212499999999</v>
      </c>
      <c r="K18" s="126">
        <f>SUM(K16:K17)</f>
        <v>24.909999999999997</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34.64</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13.85</v>
      </c>
      <c r="L25" s="121"/>
    </row>
    <row r="26" spans="1:15">
      <c r="A26" s="409" t="s">
        <v>15</v>
      </c>
      <c r="B26" s="844" t="s">
        <v>22</v>
      </c>
      <c r="C26" s="844"/>
      <c r="D26" s="844"/>
      <c r="E26" s="844"/>
      <c r="F26" s="410" t="s">
        <v>23</v>
      </c>
      <c r="G26" s="122">
        <v>0.03</v>
      </c>
      <c r="H26" s="410" t="s">
        <v>24</v>
      </c>
      <c r="I26" s="303">
        <v>0.5</v>
      </c>
      <c r="J26" s="104">
        <f>G26*I26</f>
        <v>1.4999999999999999E-2</v>
      </c>
      <c r="K26" s="119">
        <f t="shared" si="0"/>
        <v>2.6</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51.09</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4</v>
      </c>
      <c r="J30" s="402">
        <v>13.8</v>
      </c>
      <c r="K30" s="123">
        <f>(J30*I30)*80%</f>
        <v>44.160000000000004</v>
      </c>
    </row>
    <row r="31" spans="1:15">
      <c r="A31" s="409" t="s">
        <v>434</v>
      </c>
      <c r="B31" s="150" t="s">
        <v>435</v>
      </c>
      <c r="C31" s="151"/>
      <c r="D31" s="151"/>
      <c r="E31" s="151"/>
      <c r="F31" s="151"/>
      <c r="G31" s="151"/>
      <c r="H31" s="151"/>
      <c r="I31" s="405">
        <v>0</v>
      </c>
      <c r="J31" s="402">
        <v>0</v>
      </c>
      <c r="K31" s="123">
        <f>(J31*I31)*80%</f>
        <v>0</v>
      </c>
    </row>
    <row r="32" spans="1:15" ht="15.75" thickBot="1">
      <c r="A32" s="409" t="s">
        <v>6</v>
      </c>
      <c r="B32" s="876" t="s">
        <v>218</v>
      </c>
      <c r="C32" s="877"/>
      <c r="D32" s="877"/>
      <c r="E32" s="877"/>
      <c r="F32" s="877"/>
      <c r="G32" s="877"/>
      <c r="H32" s="152"/>
      <c r="I32" s="406">
        <v>8</v>
      </c>
      <c r="J32" s="403">
        <v>3.7</v>
      </c>
      <c r="K32" s="123">
        <f>I32*2*J32</f>
        <v>59.2</v>
      </c>
    </row>
    <row r="33" spans="1:11">
      <c r="A33" s="409" t="s">
        <v>10</v>
      </c>
      <c r="B33" s="876" t="s">
        <v>219</v>
      </c>
      <c r="C33" s="877"/>
      <c r="D33" s="877"/>
      <c r="E33" s="877"/>
      <c r="F33" s="877"/>
      <c r="G33" s="877"/>
      <c r="H33" s="877"/>
      <c r="I33" s="883"/>
      <c r="J33" s="153">
        <v>-0.06</v>
      </c>
      <c r="K33" s="154">
        <f>K8*J33</f>
        <v>-10.390909090909089</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v>7</v>
      </c>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203.46909090909094</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24.909999999999997</v>
      </c>
    </row>
    <row r="42" spans="1:11" s="109" customFormat="1" ht="12.75">
      <c r="A42" s="409" t="s">
        <v>175</v>
      </c>
      <c r="B42" s="857" t="s">
        <v>178</v>
      </c>
      <c r="C42" s="858"/>
      <c r="D42" s="858"/>
      <c r="E42" s="858"/>
      <c r="F42" s="858"/>
      <c r="G42" s="858"/>
      <c r="H42" s="858"/>
      <c r="I42" s="859"/>
      <c r="J42" s="408"/>
      <c r="K42" s="112">
        <f>K28</f>
        <v>51.09</v>
      </c>
    </row>
    <row r="43" spans="1:11" s="109" customFormat="1" ht="12.75">
      <c r="A43" s="409" t="s">
        <v>176</v>
      </c>
      <c r="B43" s="857" t="s">
        <v>180</v>
      </c>
      <c r="C43" s="858"/>
      <c r="D43" s="858"/>
      <c r="E43" s="858"/>
      <c r="F43" s="858"/>
      <c r="G43" s="858"/>
      <c r="H43" s="858"/>
      <c r="I43" s="859"/>
      <c r="J43" s="408"/>
      <c r="K43" s="112">
        <f>K39</f>
        <v>203.46909090909094</v>
      </c>
    </row>
    <row r="44" spans="1:11" s="109" customFormat="1" ht="12.75">
      <c r="A44" s="847" t="s">
        <v>179</v>
      </c>
      <c r="B44" s="848"/>
      <c r="C44" s="848"/>
      <c r="D44" s="848"/>
      <c r="E44" s="848"/>
      <c r="F44" s="848"/>
      <c r="G44" s="848"/>
      <c r="H44" s="848"/>
      <c r="I44" s="863"/>
      <c r="J44" s="125"/>
      <c r="K44" s="126">
        <f>SUM(K41:K43)</f>
        <v>279.46909090909094</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0.72</v>
      </c>
    </row>
    <row r="47" spans="1:11" s="109" customFormat="1" ht="12.75">
      <c r="A47" s="409" t="s">
        <v>6</v>
      </c>
      <c r="B47" s="844" t="s">
        <v>27</v>
      </c>
      <c r="C47" s="844"/>
      <c r="D47" s="844"/>
      <c r="E47" s="844"/>
      <c r="F47" s="844"/>
      <c r="G47" s="844"/>
      <c r="H47" s="844"/>
      <c r="I47" s="844"/>
      <c r="J47" s="118">
        <f>J25*J46</f>
        <v>3.3333333333333332E-4</v>
      </c>
      <c r="K47" s="112">
        <f>ROUND(J47*$K$11,2)</f>
        <v>0.06</v>
      </c>
    </row>
    <row r="48" spans="1:11" s="109" customFormat="1" ht="12.75">
      <c r="A48" s="409" t="s">
        <v>10</v>
      </c>
      <c r="B48" s="844" t="s">
        <v>184</v>
      </c>
      <c r="C48" s="844"/>
      <c r="D48" s="844"/>
      <c r="E48" s="844"/>
      <c r="F48" s="844"/>
      <c r="G48" s="844"/>
      <c r="H48" s="844"/>
      <c r="I48" s="844"/>
      <c r="J48" s="118">
        <f>(1/30)/12*7</f>
        <v>1.9444444444444445E-2</v>
      </c>
      <c r="K48" s="112">
        <f>ROUND(J48*$K$11,2)</f>
        <v>3.37</v>
      </c>
    </row>
    <row r="49" spans="1:15" s="109" customFormat="1" ht="12.75">
      <c r="A49" s="409" t="s">
        <v>12</v>
      </c>
      <c r="B49" s="844" t="s">
        <v>183</v>
      </c>
      <c r="C49" s="844"/>
      <c r="D49" s="844"/>
      <c r="E49" s="844"/>
      <c r="F49" s="844"/>
      <c r="G49" s="844"/>
      <c r="H49" s="844"/>
      <c r="I49" s="844"/>
      <c r="J49" s="118">
        <f>J28*J48</f>
        <v>5.736111111111112E-3</v>
      </c>
      <c r="K49" s="112">
        <f>ROUND(J49*$K$11,2)</f>
        <v>0.99</v>
      </c>
    </row>
    <row r="50" spans="1:15" s="109" customFormat="1" ht="12.75">
      <c r="A50" s="324" t="s">
        <v>14</v>
      </c>
      <c r="B50" s="411" t="s">
        <v>399</v>
      </c>
      <c r="C50" s="411"/>
      <c r="D50" s="411"/>
      <c r="E50" s="411"/>
      <c r="F50" s="411"/>
      <c r="G50" s="411"/>
      <c r="H50" s="411"/>
      <c r="I50" s="412"/>
      <c r="J50" s="118">
        <f>0.5*J25</f>
        <v>0.04</v>
      </c>
      <c r="K50" s="112">
        <f>ROUND(J50*$K$11,2)</f>
        <v>6.93</v>
      </c>
    </row>
    <row r="51" spans="1:15" s="109" customFormat="1" ht="12.75">
      <c r="A51" s="847" t="s">
        <v>181</v>
      </c>
      <c r="B51" s="848"/>
      <c r="C51" s="848"/>
      <c r="D51" s="848"/>
      <c r="E51" s="848"/>
      <c r="F51" s="848"/>
      <c r="G51" s="848"/>
      <c r="H51" s="848"/>
      <c r="I51" s="863"/>
      <c r="J51" s="125">
        <f>SUM(J46:J50)</f>
        <v>6.9680555555555551E-2</v>
      </c>
      <c r="K51" s="126">
        <f>SUM(K46:K50)</f>
        <v>12.07</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14.43</v>
      </c>
    </row>
    <row r="55" spans="1:15">
      <c r="A55" s="409" t="s">
        <v>6</v>
      </c>
      <c r="B55" s="844" t="s">
        <v>188</v>
      </c>
      <c r="C55" s="844"/>
      <c r="D55" s="844"/>
      <c r="E55" s="844"/>
      <c r="F55" s="874" t="s">
        <v>29</v>
      </c>
      <c r="G55" s="874"/>
      <c r="H55" s="874"/>
      <c r="I55" s="131">
        <v>6</v>
      </c>
      <c r="J55" s="104">
        <f>I55/30/12</f>
        <v>1.6666666666666666E-2</v>
      </c>
      <c r="K55" s="112">
        <f>ROUND(J55*$K$11,2)</f>
        <v>2.89</v>
      </c>
    </row>
    <row r="56" spans="1:15">
      <c r="A56" s="409" t="s">
        <v>10</v>
      </c>
      <c r="B56" s="844" t="s">
        <v>30</v>
      </c>
      <c r="C56" s="844"/>
      <c r="D56" s="844"/>
      <c r="E56" s="844"/>
      <c r="F56" s="874" t="s">
        <v>28</v>
      </c>
      <c r="G56" s="874"/>
      <c r="H56" s="132">
        <v>1.4999999999999999E-2</v>
      </c>
      <c r="I56" s="133">
        <v>5</v>
      </c>
      <c r="J56" s="104">
        <f>I56/30/12*H56</f>
        <v>2.0833333333333332E-4</v>
      </c>
      <c r="K56" s="112">
        <f>ROUND(J56*$K$11,2)</f>
        <v>0.04</v>
      </c>
    </row>
    <row r="57" spans="1:15">
      <c r="A57" s="409" t="s">
        <v>12</v>
      </c>
      <c r="B57" s="844" t="s">
        <v>189</v>
      </c>
      <c r="C57" s="844"/>
      <c r="D57" s="844"/>
      <c r="E57" s="131"/>
      <c r="F57" s="874" t="s">
        <v>28</v>
      </c>
      <c r="G57" s="874"/>
      <c r="H57" s="132">
        <v>8.0000000000000002E-3</v>
      </c>
      <c r="I57" s="134">
        <v>20</v>
      </c>
      <c r="J57" s="104">
        <f>I57/30/12*H57</f>
        <v>4.4444444444444441E-4</v>
      </c>
      <c r="K57" s="112">
        <f>ROUND(J57*$K$11,2)</f>
        <v>0.08</v>
      </c>
    </row>
    <row r="58" spans="1:15">
      <c r="A58" s="409" t="s">
        <v>14</v>
      </c>
      <c r="B58" s="844" t="s">
        <v>190</v>
      </c>
      <c r="C58" s="844"/>
      <c r="D58" s="844"/>
      <c r="E58" s="131"/>
      <c r="F58" s="875"/>
      <c r="G58" s="874"/>
      <c r="H58" s="132">
        <v>0.1</v>
      </c>
      <c r="I58" s="134">
        <v>10</v>
      </c>
      <c r="J58" s="104">
        <f>I58/30/12*H58</f>
        <v>2.7777777777777779E-3</v>
      </c>
      <c r="K58" s="112">
        <f>ROUND(J58*$K$11,2)</f>
        <v>0.48</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17.919999999999998</v>
      </c>
    </row>
    <row r="61" spans="1:15">
      <c r="A61" s="409" t="s">
        <v>12</v>
      </c>
      <c r="B61" s="328" t="s">
        <v>215</v>
      </c>
      <c r="C61" s="328"/>
      <c r="D61" s="328"/>
      <c r="E61" s="328"/>
      <c r="F61" s="328"/>
      <c r="G61" s="328"/>
      <c r="H61" s="328"/>
      <c r="I61" s="329"/>
      <c r="J61" s="332">
        <f>J60*J28</f>
        <v>3.0512013888888894E-2</v>
      </c>
      <c r="K61" s="327">
        <f>ROUND(J61*$K$11,2)</f>
        <v>5.28</v>
      </c>
    </row>
    <row r="62" spans="1:15">
      <c r="A62" s="847" t="s">
        <v>192</v>
      </c>
      <c r="B62" s="848"/>
      <c r="C62" s="848"/>
      <c r="D62" s="848"/>
      <c r="E62" s="848"/>
      <c r="F62" s="848"/>
      <c r="G62" s="848"/>
      <c r="H62" s="848"/>
      <c r="I62" s="863"/>
      <c r="J62" s="148">
        <f>SUM(J60:J61)</f>
        <v>0.13394256944444444</v>
      </c>
      <c r="K62" s="126">
        <f>SUM(K60:K61)</f>
        <v>23.2</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23.2</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23.2</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SERVENTES'!F16</f>
        <v>52.833333333333336</v>
      </c>
    </row>
    <row r="73" spans="1:13" s="109" customFormat="1" ht="12.75">
      <c r="A73" s="409" t="s">
        <v>6</v>
      </c>
      <c r="B73" s="866" t="s">
        <v>212</v>
      </c>
      <c r="C73" s="867"/>
      <c r="D73" s="867"/>
      <c r="E73" s="867"/>
      <c r="F73" s="867"/>
      <c r="G73" s="867"/>
      <c r="H73" s="867"/>
      <c r="I73" s="845">
        <v>0</v>
      </c>
      <c r="J73" s="846"/>
      <c r="K73" s="124">
        <f>MATERIAIS!R224</f>
        <v>254.08333333333334</v>
      </c>
      <c r="L73" s="137"/>
      <c r="M73" s="111"/>
    </row>
    <row r="74" spans="1:13" s="109" customFormat="1" ht="12.75">
      <c r="A74" s="409" t="s">
        <v>10</v>
      </c>
      <c r="B74" s="866" t="s">
        <v>394</v>
      </c>
      <c r="C74" s="867"/>
      <c r="D74" s="867"/>
      <c r="E74" s="867"/>
      <c r="F74" s="867"/>
      <c r="G74" s="867"/>
      <c r="H74" s="867"/>
      <c r="I74" s="845">
        <v>0</v>
      </c>
      <c r="J74" s="846"/>
      <c r="K74" s="124">
        <f>EQUIPAMENTOS!R51</f>
        <v>21.666666666666668</v>
      </c>
      <c r="L74" s="137"/>
      <c r="M74" s="111"/>
    </row>
    <row r="75" spans="1:13" s="109" customFormat="1" ht="12.75">
      <c r="A75" s="847" t="s">
        <v>207</v>
      </c>
      <c r="B75" s="848"/>
      <c r="C75" s="848"/>
      <c r="D75" s="848"/>
      <c r="E75" s="848"/>
      <c r="F75" s="848"/>
      <c r="G75" s="848"/>
      <c r="H75" s="848"/>
      <c r="I75" s="863"/>
      <c r="J75" s="125"/>
      <c r="K75" s="126">
        <f>SUM(K72:K74)</f>
        <v>328.58333333333337</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0.45</v>
      </c>
      <c r="K77" s="119">
        <f>J77*K95</f>
        <v>367.42690909090908</v>
      </c>
      <c r="L77" s="139"/>
    </row>
    <row r="78" spans="1:13" s="109" customFormat="1" ht="12.75">
      <c r="A78" s="409" t="s">
        <v>6</v>
      </c>
      <c r="B78" s="829" t="s">
        <v>32</v>
      </c>
      <c r="C78" s="829"/>
      <c r="D78" s="829"/>
      <c r="E78" s="829"/>
      <c r="F78" s="829"/>
      <c r="G78" s="829"/>
      <c r="H78" s="829"/>
      <c r="I78" s="829"/>
      <c r="J78" s="138">
        <v>0.35</v>
      </c>
      <c r="K78" s="119">
        <f>J78*(K95+K77)</f>
        <v>414.37590303030299</v>
      </c>
      <c r="L78" s="139"/>
    </row>
    <row r="79" spans="1:13" s="109" customFormat="1" ht="12.75">
      <c r="A79" s="836" t="s">
        <v>10</v>
      </c>
      <c r="B79" s="852" t="s">
        <v>33</v>
      </c>
      <c r="C79" s="853"/>
      <c r="D79" s="853"/>
      <c r="E79" s="853"/>
      <c r="F79" s="853"/>
      <c r="G79" s="853"/>
      <c r="H79" s="854"/>
      <c r="I79" s="855">
        <f>K95+K77+K78</f>
        <v>1598.3070545454543</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2.83</v>
      </c>
      <c r="J81" s="840"/>
      <c r="K81" s="841">
        <f>SUM(I81:J86)</f>
        <v>48.92</v>
      </c>
    </row>
    <row r="82" spans="1:11" s="109" customFormat="1" ht="12.75">
      <c r="A82" s="836"/>
      <c r="B82" s="844"/>
      <c r="C82" s="844"/>
      <c r="D82" s="844"/>
      <c r="E82" s="844"/>
      <c r="F82" s="413" t="s">
        <v>38</v>
      </c>
      <c r="G82" s="575">
        <v>7.9500000000000005E-3</v>
      </c>
      <c r="H82" s="838"/>
      <c r="I82" s="839">
        <f t="shared" si="1"/>
        <v>13.1</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32.99</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830.72281212121209</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173.18181818181816</v>
      </c>
    </row>
    <row r="91" spans="1:11" s="109" customFormat="1" ht="12.75">
      <c r="A91" s="409" t="s">
        <v>6</v>
      </c>
      <c r="B91" s="829" t="str">
        <f>A12</f>
        <v>MÓDULO 2 – ENCARGOS E BENEFÍCIOS ANUAIS, MENSAIS E DIÁRIOS</v>
      </c>
      <c r="C91" s="829"/>
      <c r="D91" s="829"/>
      <c r="E91" s="829"/>
      <c r="F91" s="829"/>
      <c r="G91" s="829"/>
      <c r="H91" s="829"/>
      <c r="I91" s="829"/>
      <c r="J91" s="829"/>
      <c r="K91" s="142">
        <f>K44</f>
        <v>279.46909090909094</v>
      </c>
    </row>
    <row r="92" spans="1:11" s="109" customFormat="1" ht="12.75">
      <c r="A92" s="409" t="s">
        <v>10</v>
      </c>
      <c r="B92" s="829" t="str">
        <f>A45</f>
        <v>MÓDULO 3 – PROVISÃO PARA RESCISÃO</v>
      </c>
      <c r="C92" s="829"/>
      <c r="D92" s="829"/>
      <c r="E92" s="829"/>
      <c r="F92" s="829"/>
      <c r="G92" s="829"/>
      <c r="H92" s="829"/>
      <c r="I92" s="829"/>
      <c r="J92" s="829"/>
      <c r="K92" s="142">
        <f>K51</f>
        <v>12.07</v>
      </c>
    </row>
    <row r="93" spans="1:11" s="109" customFormat="1" ht="12.75">
      <c r="A93" s="409" t="s">
        <v>12</v>
      </c>
      <c r="B93" s="829" t="str">
        <f>A52</f>
        <v>MÓDULO 4 – CUSTO DE REPOSIÇÃO DO PROFISSIONAL AUSENTE</v>
      </c>
      <c r="C93" s="829"/>
      <c r="D93" s="829"/>
      <c r="E93" s="829"/>
      <c r="F93" s="829"/>
      <c r="G93" s="829"/>
      <c r="H93" s="829"/>
      <c r="I93" s="829"/>
      <c r="J93" s="829"/>
      <c r="K93" s="142">
        <f>K62</f>
        <v>23.2</v>
      </c>
    </row>
    <row r="94" spans="1:11" s="109" customFormat="1" ht="12.75">
      <c r="A94" s="409" t="s">
        <v>14</v>
      </c>
      <c r="B94" s="829" t="str">
        <f>A71</f>
        <v>MÓDULO 5 – INSUMOS DIVERSOS</v>
      </c>
      <c r="C94" s="829"/>
      <c r="D94" s="829"/>
      <c r="E94" s="829"/>
      <c r="F94" s="829"/>
      <c r="G94" s="829"/>
      <c r="H94" s="829"/>
      <c r="I94" s="829"/>
      <c r="J94" s="829"/>
      <c r="K94" s="142">
        <f>K75</f>
        <v>328.58333333333337</v>
      </c>
    </row>
    <row r="95" spans="1:11" s="109" customFormat="1" ht="12.75">
      <c r="A95" s="830" t="s">
        <v>209</v>
      </c>
      <c r="B95" s="830"/>
      <c r="C95" s="830"/>
      <c r="D95" s="830"/>
      <c r="E95" s="830"/>
      <c r="F95" s="830"/>
      <c r="G95" s="830"/>
      <c r="H95" s="830"/>
      <c r="I95" s="830"/>
      <c r="J95" s="830"/>
      <c r="K95" s="107">
        <f>SUM(K90:K94)</f>
        <v>816.50424242424242</v>
      </c>
    </row>
    <row r="96" spans="1:11" s="109" customFormat="1" ht="12.75">
      <c r="A96" s="409" t="s">
        <v>14</v>
      </c>
      <c r="B96" s="829" t="s">
        <v>46</v>
      </c>
      <c r="C96" s="829"/>
      <c r="D96" s="829"/>
      <c r="E96" s="829"/>
      <c r="F96" s="829"/>
      <c r="G96" s="829"/>
      <c r="H96" s="829"/>
      <c r="I96" s="829"/>
      <c r="J96" s="829"/>
      <c r="K96" s="108">
        <f>K97-K95</f>
        <v>830.7257575757576</v>
      </c>
    </row>
    <row r="97" spans="1:15" s="109" customFormat="1" ht="12.75">
      <c r="A97" s="831" t="s">
        <v>47</v>
      </c>
      <c r="B97" s="831"/>
      <c r="C97" s="831"/>
      <c r="D97" s="831"/>
      <c r="E97" s="831"/>
      <c r="F97" s="831"/>
      <c r="G97" s="831"/>
      <c r="H97" s="831"/>
      <c r="I97" s="831"/>
      <c r="J97" s="831"/>
      <c r="K97" s="143">
        <f>ROUND(I79/(1-$H$81),2)</f>
        <v>1647.23</v>
      </c>
    </row>
    <row r="98" spans="1:15" s="109" customFormat="1" ht="12.75">
      <c r="A98" s="832" t="s">
        <v>214</v>
      </c>
      <c r="B98" s="821"/>
      <c r="C98" s="821"/>
      <c r="D98" s="821"/>
      <c r="E98" s="821"/>
      <c r="F98" s="821"/>
      <c r="G98" s="821"/>
      <c r="H98" s="821"/>
      <c r="I98" s="155"/>
      <c r="J98" s="407">
        <v>1</v>
      </c>
      <c r="K98" s="156">
        <f>K97</f>
        <v>1647.23</v>
      </c>
    </row>
    <row r="99" spans="1:15" s="109" customFormat="1" ht="13.5" thickBot="1">
      <c r="A99" s="905" t="s">
        <v>217</v>
      </c>
      <c r="B99" s="905"/>
      <c r="C99" s="905"/>
      <c r="D99" s="905"/>
      <c r="E99" s="816"/>
      <c r="F99" s="816"/>
      <c r="G99" s="816"/>
      <c r="H99" s="816"/>
      <c r="I99" s="905"/>
      <c r="J99" s="905"/>
      <c r="K99" s="157">
        <f>K98*12</f>
        <v>19766.760000000002</v>
      </c>
    </row>
    <row r="100" spans="1:15" s="109" customFormat="1" ht="13.5" thickBot="1">
      <c r="A100" s="833" t="s">
        <v>529</v>
      </c>
      <c r="B100" s="834"/>
      <c r="C100" s="834"/>
      <c r="D100" s="834"/>
      <c r="E100" s="834"/>
      <c r="F100" s="834"/>
      <c r="G100" s="834"/>
      <c r="H100" s="834"/>
      <c r="I100" s="834"/>
      <c r="J100" s="835"/>
      <c r="K100" s="514">
        <f>(K99/12)</f>
        <v>1647.2300000000002</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0.45</v>
      </c>
      <c r="M103" s="304"/>
      <c r="N103" s="304"/>
      <c r="O103" s="304"/>
    </row>
    <row r="104" spans="1:15" ht="15" customHeight="1">
      <c r="G104" s="161"/>
      <c r="H104" s="823" t="s">
        <v>32</v>
      </c>
      <c r="I104" s="824"/>
      <c r="J104" s="825"/>
      <c r="K104" s="163">
        <f>J78</f>
        <v>0.35</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1.0174172936205297</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75:I75"/>
    <mergeCell ref="A76:I76"/>
    <mergeCell ref="B77:I77"/>
    <mergeCell ref="A66:J66"/>
    <mergeCell ref="B67:I67"/>
    <mergeCell ref="B68:I68"/>
    <mergeCell ref="A69:I69"/>
    <mergeCell ref="A70:K70"/>
    <mergeCell ref="A71:I71"/>
    <mergeCell ref="B73:H73"/>
    <mergeCell ref="I73:J73"/>
    <mergeCell ref="B74:H74"/>
    <mergeCell ref="I74:J74"/>
    <mergeCell ref="B78:I78"/>
    <mergeCell ref="A79:A86"/>
    <mergeCell ref="B79:H79"/>
    <mergeCell ref="I79:J79"/>
    <mergeCell ref="B80:E80"/>
    <mergeCell ref="I80:J80"/>
    <mergeCell ref="B81:E83"/>
    <mergeCell ref="H81:H86"/>
    <mergeCell ref="I81:J81"/>
    <mergeCell ref="A87:J87"/>
    <mergeCell ref="A88:K88"/>
    <mergeCell ref="A89:J89"/>
    <mergeCell ref="B90:J90"/>
    <mergeCell ref="B91:J91"/>
    <mergeCell ref="B92:J92"/>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66CCFF"/>
    <pageSetUpPr fitToPage="1"/>
  </sheetPr>
  <dimension ref="A1:O116"/>
  <sheetViews>
    <sheetView view="pageBreakPreview" zoomScaleNormal="100" zoomScaleSheetLayoutView="100" workbookViewId="0">
      <selection activeCell="I79" sqref="I79:J79"/>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553</v>
      </c>
      <c r="B5" s="897"/>
      <c r="C5" s="897"/>
      <c r="D5" s="897"/>
      <c r="E5" s="897"/>
      <c r="F5" s="897"/>
      <c r="G5" s="897"/>
      <c r="H5" s="897"/>
      <c r="I5" s="898" t="s">
        <v>554</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409" t="s">
        <v>4</v>
      </c>
      <c r="B8" s="890" t="s">
        <v>397</v>
      </c>
      <c r="C8" s="890"/>
      <c r="D8" s="890"/>
      <c r="E8" s="890"/>
      <c r="F8" s="890"/>
      <c r="G8" s="890"/>
      <c r="H8" s="890"/>
      <c r="I8" s="890"/>
      <c r="J8" s="890"/>
      <c r="K8" s="333">
        <f>K7/220*6*5</f>
        <v>173.18181818181816</v>
      </c>
      <c r="L8" s="326"/>
      <c r="M8" s="111"/>
    </row>
    <row r="9" spans="1:15">
      <c r="A9" s="409" t="s">
        <v>6</v>
      </c>
      <c r="B9" s="374" t="s">
        <v>433</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173.18181818181816</v>
      </c>
      <c r="L10" s="113"/>
    </row>
    <row r="11" spans="1:15">
      <c r="A11" s="892" t="s">
        <v>208</v>
      </c>
      <c r="B11" s="892"/>
      <c r="C11" s="892"/>
      <c r="D11" s="892"/>
      <c r="E11" s="892"/>
      <c r="F11" s="892"/>
      <c r="G11" s="892"/>
      <c r="H11" s="892"/>
      <c r="I11" s="892"/>
      <c r="J11" s="892"/>
      <c r="K11" s="114">
        <f>SUM(K10:K10)</f>
        <v>173.18181818181816</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14.43</v>
      </c>
    </row>
    <row r="15" spans="1:15">
      <c r="A15" s="409" t="s">
        <v>6</v>
      </c>
      <c r="B15" s="857" t="s">
        <v>164</v>
      </c>
      <c r="C15" s="858"/>
      <c r="D15" s="858"/>
      <c r="E15" s="858"/>
      <c r="F15" s="858"/>
      <c r="G15" s="858"/>
      <c r="H15" s="858"/>
      <c r="I15" s="859"/>
      <c r="J15" s="118">
        <f>J54*33.33%</f>
        <v>2.7774999999999998E-2</v>
      </c>
      <c r="K15" s="119">
        <f>ROUND($J15*K$11,2)</f>
        <v>4.8099999999999996</v>
      </c>
      <c r="M15" s="109" t="s">
        <v>233</v>
      </c>
    </row>
    <row r="16" spans="1:15">
      <c r="A16" s="409" t="s">
        <v>10</v>
      </c>
      <c r="B16" s="411" t="s">
        <v>213</v>
      </c>
      <c r="C16" s="411"/>
      <c r="D16" s="411"/>
      <c r="E16" s="411"/>
      <c r="F16" s="411"/>
      <c r="G16" s="411"/>
      <c r="H16" s="411"/>
      <c r="I16" s="412"/>
      <c r="J16" s="118">
        <f>SUM(J14:J15)</f>
        <v>0.11107499999999999</v>
      </c>
      <c r="K16" s="112">
        <f>SUM(K14:K15)</f>
        <v>19.239999999999998</v>
      </c>
    </row>
    <row r="17" spans="1:15">
      <c r="A17" s="409" t="s">
        <v>12</v>
      </c>
      <c r="B17" s="328" t="s">
        <v>398</v>
      </c>
      <c r="C17" s="328"/>
      <c r="D17" s="328"/>
      <c r="E17" s="328"/>
      <c r="F17" s="328"/>
      <c r="G17" s="328"/>
      <c r="H17" s="328"/>
      <c r="I17" s="329"/>
      <c r="J17" s="330">
        <f>J16*J28</f>
        <v>3.2767125000000001E-2</v>
      </c>
      <c r="K17" s="331">
        <f>ROUND($J17*K$11,2)</f>
        <v>5.67</v>
      </c>
    </row>
    <row r="18" spans="1:15">
      <c r="A18" s="847" t="s">
        <v>165</v>
      </c>
      <c r="B18" s="848"/>
      <c r="C18" s="848"/>
      <c r="D18" s="848"/>
      <c r="E18" s="848"/>
      <c r="F18" s="848"/>
      <c r="G18" s="848"/>
      <c r="H18" s="848"/>
      <c r="I18" s="863"/>
      <c r="J18" s="125">
        <f>SUM(J16:J17)</f>
        <v>0.14384212499999999</v>
      </c>
      <c r="K18" s="126">
        <f>SUM(K16:K17)</f>
        <v>24.909999999999997</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34.64</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13.85</v>
      </c>
      <c r="L25" s="121"/>
    </row>
    <row r="26" spans="1:15">
      <c r="A26" s="409" t="s">
        <v>15</v>
      </c>
      <c r="B26" s="844" t="s">
        <v>22</v>
      </c>
      <c r="C26" s="844"/>
      <c r="D26" s="844"/>
      <c r="E26" s="844"/>
      <c r="F26" s="410" t="s">
        <v>23</v>
      </c>
      <c r="G26" s="122">
        <v>0.03</v>
      </c>
      <c r="H26" s="410" t="s">
        <v>24</v>
      </c>
      <c r="I26" s="303">
        <v>0.5</v>
      </c>
      <c r="J26" s="104">
        <f>G26*I26</f>
        <v>1.4999999999999999E-2</v>
      </c>
      <c r="K26" s="119">
        <f t="shared" si="0"/>
        <v>2.6</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51.09</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4</v>
      </c>
      <c r="J30" s="402">
        <v>13.8</v>
      </c>
      <c r="K30" s="123">
        <f>(J30*I30)*80%</f>
        <v>44.160000000000004</v>
      </c>
    </row>
    <row r="31" spans="1:15">
      <c r="A31" s="409" t="s">
        <v>434</v>
      </c>
      <c r="B31" s="150" t="s">
        <v>435</v>
      </c>
      <c r="C31" s="151"/>
      <c r="D31" s="151"/>
      <c r="E31" s="151"/>
      <c r="F31" s="151"/>
      <c r="G31" s="151"/>
      <c r="H31" s="151"/>
      <c r="I31" s="405">
        <v>0</v>
      </c>
      <c r="J31" s="402">
        <v>0</v>
      </c>
      <c r="K31" s="123">
        <f>(J31*I31)*80%</f>
        <v>0</v>
      </c>
    </row>
    <row r="32" spans="1:15" ht="15.75" thickBot="1">
      <c r="A32" s="409" t="s">
        <v>6</v>
      </c>
      <c r="B32" s="876" t="s">
        <v>218</v>
      </c>
      <c r="C32" s="877"/>
      <c r="D32" s="877"/>
      <c r="E32" s="877"/>
      <c r="F32" s="877"/>
      <c r="G32" s="877"/>
      <c r="H32" s="152"/>
      <c r="I32" s="406">
        <v>8</v>
      </c>
      <c r="J32" s="403">
        <v>4.05</v>
      </c>
      <c r="K32" s="123">
        <f>I32*2*J32</f>
        <v>64.8</v>
      </c>
    </row>
    <row r="33" spans="1:11">
      <c r="A33" s="409" t="s">
        <v>10</v>
      </c>
      <c r="B33" s="876" t="s">
        <v>219</v>
      </c>
      <c r="C33" s="877"/>
      <c r="D33" s="877"/>
      <c r="E33" s="877"/>
      <c r="F33" s="877"/>
      <c r="G33" s="877"/>
      <c r="H33" s="877"/>
      <c r="I33" s="883"/>
      <c r="J33" s="153">
        <v>-0.06</v>
      </c>
      <c r="K33" s="154">
        <f>K8*J33</f>
        <v>-10.390909090909089</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v>0</v>
      </c>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202.0690909090909</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24.909999999999997</v>
      </c>
    </row>
    <row r="42" spans="1:11" s="109" customFormat="1" ht="12.75">
      <c r="A42" s="409" t="s">
        <v>175</v>
      </c>
      <c r="B42" s="857" t="s">
        <v>178</v>
      </c>
      <c r="C42" s="858"/>
      <c r="D42" s="858"/>
      <c r="E42" s="858"/>
      <c r="F42" s="858"/>
      <c r="G42" s="858"/>
      <c r="H42" s="858"/>
      <c r="I42" s="859"/>
      <c r="J42" s="408"/>
      <c r="K42" s="112">
        <f>K28</f>
        <v>51.09</v>
      </c>
    </row>
    <row r="43" spans="1:11" s="109" customFormat="1" ht="12.75">
      <c r="A43" s="409" t="s">
        <v>176</v>
      </c>
      <c r="B43" s="857" t="s">
        <v>180</v>
      </c>
      <c r="C43" s="858"/>
      <c r="D43" s="858"/>
      <c r="E43" s="858"/>
      <c r="F43" s="858"/>
      <c r="G43" s="858"/>
      <c r="H43" s="858"/>
      <c r="I43" s="859"/>
      <c r="J43" s="408"/>
      <c r="K43" s="112">
        <f>K39</f>
        <v>202.0690909090909</v>
      </c>
    </row>
    <row r="44" spans="1:11" s="109" customFormat="1" ht="12.75">
      <c r="A44" s="847" t="s">
        <v>179</v>
      </c>
      <c r="B44" s="848"/>
      <c r="C44" s="848"/>
      <c r="D44" s="848"/>
      <c r="E44" s="848"/>
      <c r="F44" s="848"/>
      <c r="G44" s="848"/>
      <c r="H44" s="848"/>
      <c r="I44" s="863"/>
      <c r="J44" s="125"/>
      <c r="K44" s="126">
        <f>SUM(K41:K43)</f>
        <v>278.0690909090909</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0.72</v>
      </c>
    </row>
    <row r="47" spans="1:11" s="109" customFormat="1" ht="12.75">
      <c r="A47" s="409" t="s">
        <v>6</v>
      </c>
      <c r="B47" s="844" t="s">
        <v>27</v>
      </c>
      <c r="C47" s="844"/>
      <c r="D47" s="844"/>
      <c r="E47" s="844"/>
      <c r="F47" s="844"/>
      <c r="G47" s="844"/>
      <c r="H47" s="844"/>
      <c r="I47" s="844"/>
      <c r="J47" s="118">
        <f>J25*J46</f>
        <v>3.3333333333333332E-4</v>
      </c>
      <c r="K47" s="112">
        <f>ROUND(J47*$K$11,2)</f>
        <v>0.06</v>
      </c>
    </row>
    <row r="48" spans="1:11" s="109" customFormat="1" ht="12.75">
      <c r="A48" s="409" t="s">
        <v>10</v>
      </c>
      <c r="B48" s="844" t="s">
        <v>184</v>
      </c>
      <c r="C48" s="844"/>
      <c r="D48" s="844"/>
      <c r="E48" s="844"/>
      <c r="F48" s="844"/>
      <c r="G48" s="844"/>
      <c r="H48" s="844"/>
      <c r="I48" s="844"/>
      <c r="J48" s="118">
        <f>(1/30)/12*7</f>
        <v>1.9444444444444445E-2</v>
      </c>
      <c r="K48" s="112">
        <f>ROUND(J48*$K$11,2)</f>
        <v>3.37</v>
      </c>
    </row>
    <row r="49" spans="1:15" s="109" customFormat="1" ht="12.75">
      <c r="A49" s="409" t="s">
        <v>12</v>
      </c>
      <c r="B49" s="844" t="s">
        <v>183</v>
      </c>
      <c r="C49" s="844"/>
      <c r="D49" s="844"/>
      <c r="E49" s="844"/>
      <c r="F49" s="844"/>
      <c r="G49" s="844"/>
      <c r="H49" s="844"/>
      <c r="I49" s="844"/>
      <c r="J49" s="118">
        <f>J28*J48</f>
        <v>5.736111111111112E-3</v>
      </c>
      <c r="K49" s="112">
        <f>ROUND(J49*$K$11,2)</f>
        <v>0.99</v>
      </c>
    </row>
    <row r="50" spans="1:15" s="109" customFormat="1" ht="12.75">
      <c r="A50" s="324" t="s">
        <v>14</v>
      </c>
      <c r="B50" s="411" t="s">
        <v>399</v>
      </c>
      <c r="C50" s="411"/>
      <c r="D50" s="411"/>
      <c r="E50" s="411"/>
      <c r="F50" s="411"/>
      <c r="G50" s="411"/>
      <c r="H50" s="411"/>
      <c r="I50" s="412"/>
      <c r="J50" s="118">
        <f>0.5*J25</f>
        <v>0.04</v>
      </c>
      <c r="K50" s="112">
        <f>ROUND(J50*$K$11,2)</f>
        <v>6.93</v>
      </c>
    </row>
    <row r="51" spans="1:15" s="109" customFormat="1" ht="12.75">
      <c r="A51" s="847" t="s">
        <v>181</v>
      </c>
      <c r="B51" s="848"/>
      <c r="C51" s="848"/>
      <c r="D51" s="848"/>
      <c r="E51" s="848"/>
      <c r="F51" s="848"/>
      <c r="G51" s="848"/>
      <c r="H51" s="848"/>
      <c r="I51" s="863"/>
      <c r="J51" s="125">
        <f>SUM(J46:J50)</f>
        <v>6.9680555555555551E-2</v>
      </c>
      <c r="K51" s="126">
        <f>SUM(K46:K50)</f>
        <v>12.07</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14.43</v>
      </c>
    </row>
    <row r="55" spans="1:15">
      <c r="A55" s="409" t="s">
        <v>6</v>
      </c>
      <c r="B55" s="844" t="s">
        <v>188</v>
      </c>
      <c r="C55" s="844"/>
      <c r="D55" s="844"/>
      <c r="E55" s="844"/>
      <c r="F55" s="874" t="s">
        <v>29</v>
      </c>
      <c r="G55" s="874"/>
      <c r="H55" s="874"/>
      <c r="I55" s="131">
        <v>6</v>
      </c>
      <c r="J55" s="104">
        <f>I55/30/12</f>
        <v>1.6666666666666666E-2</v>
      </c>
      <c r="K55" s="112">
        <f>ROUND(J55*$K$11,2)</f>
        <v>2.89</v>
      </c>
    </row>
    <row r="56" spans="1:15">
      <c r="A56" s="409" t="s">
        <v>10</v>
      </c>
      <c r="B56" s="844" t="s">
        <v>30</v>
      </c>
      <c r="C56" s="844"/>
      <c r="D56" s="844"/>
      <c r="E56" s="844"/>
      <c r="F56" s="874" t="s">
        <v>28</v>
      </c>
      <c r="G56" s="874"/>
      <c r="H56" s="132">
        <v>1.4999999999999999E-2</v>
      </c>
      <c r="I56" s="133">
        <v>5</v>
      </c>
      <c r="J56" s="104">
        <f>I56/30/12*H56</f>
        <v>2.0833333333333332E-4</v>
      </c>
      <c r="K56" s="112">
        <f>ROUND(J56*$K$11,2)</f>
        <v>0.04</v>
      </c>
    </row>
    <row r="57" spans="1:15">
      <c r="A57" s="409" t="s">
        <v>12</v>
      </c>
      <c r="B57" s="844" t="s">
        <v>189</v>
      </c>
      <c r="C57" s="844"/>
      <c r="D57" s="844"/>
      <c r="E57" s="131"/>
      <c r="F57" s="874" t="s">
        <v>28</v>
      </c>
      <c r="G57" s="874"/>
      <c r="H57" s="132">
        <v>8.0000000000000002E-3</v>
      </c>
      <c r="I57" s="134">
        <v>20</v>
      </c>
      <c r="J57" s="104">
        <f>I57/30/12*H57</f>
        <v>4.4444444444444441E-4</v>
      </c>
      <c r="K57" s="112">
        <f>ROUND(J57*$K$11,2)</f>
        <v>0.08</v>
      </c>
    </row>
    <row r="58" spans="1:15">
      <c r="A58" s="409" t="s">
        <v>14</v>
      </c>
      <c r="B58" s="844" t="s">
        <v>190</v>
      </c>
      <c r="C58" s="844"/>
      <c r="D58" s="844"/>
      <c r="E58" s="131"/>
      <c r="F58" s="875"/>
      <c r="G58" s="874"/>
      <c r="H58" s="132">
        <v>0.1</v>
      </c>
      <c r="I58" s="134">
        <v>10</v>
      </c>
      <c r="J58" s="104">
        <f>I58/30/12*H58</f>
        <v>2.7777777777777779E-3</v>
      </c>
      <c r="K58" s="112">
        <f>ROUND(J58*$K$11,2)</f>
        <v>0.48</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17.919999999999998</v>
      </c>
    </row>
    <row r="61" spans="1:15">
      <c r="A61" s="409" t="s">
        <v>12</v>
      </c>
      <c r="B61" s="328" t="s">
        <v>215</v>
      </c>
      <c r="C61" s="328"/>
      <c r="D61" s="328"/>
      <c r="E61" s="328"/>
      <c r="F61" s="328"/>
      <c r="G61" s="328"/>
      <c r="H61" s="328"/>
      <c r="I61" s="329"/>
      <c r="J61" s="332">
        <f>J60*J28</f>
        <v>3.0512013888888894E-2</v>
      </c>
      <c r="K61" s="327">
        <f>ROUND(J61*$K$11,2)</f>
        <v>5.28</v>
      </c>
    </row>
    <row r="62" spans="1:15">
      <c r="A62" s="847" t="s">
        <v>192</v>
      </c>
      <c r="B62" s="848"/>
      <c r="C62" s="848"/>
      <c r="D62" s="848"/>
      <c r="E62" s="848"/>
      <c r="F62" s="848"/>
      <c r="G62" s="848"/>
      <c r="H62" s="848"/>
      <c r="I62" s="863"/>
      <c r="J62" s="148">
        <f>SUM(J60:J61)</f>
        <v>0.13394256944444444</v>
      </c>
      <c r="K62" s="126">
        <f>SUM(K60:K61)</f>
        <v>23.2</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23.2</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23.2</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SERVENTES'!F16</f>
        <v>52.833333333333336</v>
      </c>
    </row>
    <row r="73" spans="1:13" s="109" customFormat="1" ht="12.75">
      <c r="A73" s="409" t="s">
        <v>6</v>
      </c>
      <c r="B73" s="866" t="s">
        <v>212</v>
      </c>
      <c r="C73" s="867"/>
      <c r="D73" s="867"/>
      <c r="E73" s="867"/>
      <c r="F73" s="867"/>
      <c r="G73" s="867"/>
      <c r="H73" s="867"/>
      <c r="I73" s="845">
        <v>0</v>
      </c>
      <c r="J73" s="846"/>
      <c r="K73" s="124">
        <f>MATERIAIS!S224</f>
        <v>254.08333333333334</v>
      </c>
      <c r="L73" s="137"/>
      <c r="M73" s="111"/>
    </row>
    <row r="74" spans="1:13" s="109" customFormat="1" ht="12.75">
      <c r="A74" s="409" t="s">
        <v>10</v>
      </c>
      <c r="B74" s="866" t="s">
        <v>394</v>
      </c>
      <c r="C74" s="867"/>
      <c r="D74" s="867"/>
      <c r="E74" s="867"/>
      <c r="F74" s="867"/>
      <c r="G74" s="867"/>
      <c r="H74" s="867"/>
      <c r="I74" s="845">
        <v>0</v>
      </c>
      <c r="J74" s="846"/>
      <c r="K74" s="124">
        <f>EQUIPAMENTOS!S51</f>
        <v>21.666666666666668</v>
      </c>
      <c r="L74" s="137"/>
      <c r="M74" s="111"/>
    </row>
    <row r="75" spans="1:13" s="109" customFormat="1" ht="12.75">
      <c r="A75" s="847" t="s">
        <v>207</v>
      </c>
      <c r="B75" s="848"/>
      <c r="C75" s="848"/>
      <c r="D75" s="848"/>
      <c r="E75" s="848"/>
      <c r="F75" s="848"/>
      <c r="G75" s="848"/>
      <c r="H75" s="848"/>
      <c r="I75" s="863"/>
      <c r="J75" s="125"/>
      <c r="K75" s="126">
        <f>SUM(K72:K74)</f>
        <v>328.58333333333337</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0.45</v>
      </c>
      <c r="K77" s="119">
        <f>J77*K95</f>
        <v>366.79690909090908</v>
      </c>
      <c r="L77" s="139"/>
    </row>
    <row r="78" spans="1:13" s="109" customFormat="1" ht="12.75">
      <c r="A78" s="409" t="s">
        <v>6</v>
      </c>
      <c r="B78" s="829" t="s">
        <v>32</v>
      </c>
      <c r="C78" s="829"/>
      <c r="D78" s="829"/>
      <c r="E78" s="829"/>
      <c r="F78" s="829"/>
      <c r="G78" s="829"/>
      <c r="H78" s="829"/>
      <c r="I78" s="829"/>
      <c r="J78" s="138">
        <v>0.35</v>
      </c>
      <c r="K78" s="119">
        <f>J78*(K95+K77)</f>
        <v>413.66540303030297</v>
      </c>
      <c r="L78" s="139"/>
    </row>
    <row r="79" spans="1:13" s="109" customFormat="1" ht="12.75">
      <c r="A79" s="836" t="s">
        <v>10</v>
      </c>
      <c r="B79" s="852" t="s">
        <v>33</v>
      </c>
      <c r="C79" s="853"/>
      <c r="D79" s="853"/>
      <c r="E79" s="853"/>
      <c r="F79" s="853"/>
      <c r="G79" s="853"/>
      <c r="H79" s="854"/>
      <c r="I79" s="855">
        <f>K95+K77+K78</f>
        <v>1595.5665545454544</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2.83</v>
      </c>
      <c r="J81" s="840"/>
      <c r="K81" s="841">
        <f>SUM(I81:J86)</f>
        <v>48.839999999999996</v>
      </c>
    </row>
    <row r="82" spans="1:11" s="109" customFormat="1" ht="12.75">
      <c r="A82" s="836"/>
      <c r="B82" s="844"/>
      <c r="C82" s="844"/>
      <c r="D82" s="844"/>
      <c r="E82" s="844"/>
      <c r="F82" s="413" t="s">
        <v>38</v>
      </c>
      <c r="G82" s="575">
        <v>7.9500000000000005E-3</v>
      </c>
      <c r="H82" s="838"/>
      <c r="I82" s="839">
        <f t="shared" si="1"/>
        <v>13.07</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32.94</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829.30231212121203</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173.18181818181816</v>
      </c>
    </row>
    <row r="91" spans="1:11" s="109" customFormat="1" ht="12.75">
      <c r="A91" s="409" t="s">
        <v>6</v>
      </c>
      <c r="B91" s="829" t="str">
        <f>A12</f>
        <v>MÓDULO 2 – ENCARGOS E BENEFÍCIOS ANUAIS, MENSAIS E DIÁRIOS</v>
      </c>
      <c r="C91" s="829"/>
      <c r="D91" s="829"/>
      <c r="E91" s="829"/>
      <c r="F91" s="829"/>
      <c r="G91" s="829"/>
      <c r="H91" s="829"/>
      <c r="I91" s="829"/>
      <c r="J91" s="829"/>
      <c r="K91" s="142">
        <f>K44</f>
        <v>278.0690909090909</v>
      </c>
    </row>
    <row r="92" spans="1:11" s="109" customFormat="1" ht="12.75">
      <c r="A92" s="409" t="s">
        <v>10</v>
      </c>
      <c r="B92" s="829" t="str">
        <f>A45</f>
        <v>MÓDULO 3 – PROVISÃO PARA RESCISÃO</v>
      </c>
      <c r="C92" s="829"/>
      <c r="D92" s="829"/>
      <c r="E92" s="829"/>
      <c r="F92" s="829"/>
      <c r="G92" s="829"/>
      <c r="H92" s="829"/>
      <c r="I92" s="829"/>
      <c r="J92" s="829"/>
      <c r="K92" s="142">
        <f>K51</f>
        <v>12.07</v>
      </c>
    </row>
    <row r="93" spans="1:11" s="109" customFormat="1" ht="12.75">
      <c r="A93" s="409" t="s">
        <v>12</v>
      </c>
      <c r="B93" s="829" t="str">
        <f>A52</f>
        <v>MÓDULO 4 – CUSTO DE REPOSIÇÃO DO PROFISSIONAL AUSENTE</v>
      </c>
      <c r="C93" s="829"/>
      <c r="D93" s="829"/>
      <c r="E93" s="829"/>
      <c r="F93" s="829"/>
      <c r="G93" s="829"/>
      <c r="H93" s="829"/>
      <c r="I93" s="829"/>
      <c r="J93" s="829"/>
      <c r="K93" s="142">
        <f>K62</f>
        <v>23.2</v>
      </c>
    </row>
    <row r="94" spans="1:11" s="109" customFormat="1" ht="12.75">
      <c r="A94" s="409" t="s">
        <v>14</v>
      </c>
      <c r="B94" s="829" t="str">
        <f>A71</f>
        <v>MÓDULO 5 – INSUMOS DIVERSOS</v>
      </c>
      <c r="C94" s="829"/>
      <c r="D94" s="829"/>
      <c r="E94" s="829"/>
      <c r="F94" s="829"/>
      <c r="G94" s="829"/>
      <c r="H94" s="829"/>
      <c r="I94" s="829"/>
      <c r="J94" s="829"/>
      <c r="K94" s="142">
        <f>K75</f>
        <v>328.58333333333337</v>
      </c>
    </row>
    <row r="95" spans="1:11" s="109" customFormat="1" ht="12.75">
      <c r="A95" s="830" t="s">
        <v>209</v>
      </c>
      <c r="B95" s="830"/>
      <c r="C95" s="830"/>
      <c r="D95" s="830"/>
      <c r="E95" s="830"/>
      <c r="F95" s="830"/>
      <c r="G95" s="830"/>
      <c r="H95" s="830"/>
      <c r="I95" s="830"/>
      <c r="J95" s="830"/>
      <c r="K95" s="107">
        <f>SUM(K90:K94)</f>
        <v>815.10424242424244</v>
      </c>
    </row>
    <row r="96" spans="1:11" s="109" customFormat="1" ht="12.75">
      <c r="A96" s="409" t="s">
        <v>14</v>
      </c>
      <c r="B96" s="829" t="s">
        <v>46</v>
      </c>
      <c r="C96" s="829"/>
      <c r="D96" s="829"/>
      <c r="E96" s="829"/>
      <c r="F96" s="829"/>
      <c r="G96" s="829"/>
      <c r="H96" s="829"/>
      <c r="I96" s="829"/>
      <c r="J96" s="829"/>
      <c r="K96" s="108">
        <f>K97-K95</f>
        <v>829.30575757575764</v>
      </c>
    </row>
    <row r="97" spans="1:15" s="109" customFormat="1" ht="12.75">
      <c r="A97" s="831" t="s">
        <v>47</v>
      </c>
      <c r="B97" s="831"/>
      <c r="C97" s="831"/>
      <c r="D97" s="831"/>
      <c r="E97" s="831"/>
      <c r="F97" s="831"/>
      <c r="G97" s="831"/>
      <c r="H97" s="831"/>
      <c r="I97" s="831"/>
      <c r="J97" s="831"/>
      <c r="K97" s="143">
        <f>ROUND(I79/(1-$H$81),2)</f>
        <v>1644.41</v>
      </c>
    </row>
    <row r="98" spans="1:15" s="109" customFormat="1" ht="12.75">
      <c r="A98" s="832" t="s">
        <v>214</v>
      </c>
      <c r="B98" s="821"/>
      <c r="C98" s="821"/>
      <c r="D98" s="821"/>
      <c r="E98" s="821"/>
      <c r="F98" s="821"/>
      <c r="G98" s="821"/>
      <c r="H98" s="821"/>
      <c r="I98" s="155"/>
      <c r="J98" s="407">
        <v>1</v>
      </c>
      <c r="K98" s="156">
        <f>K97</f>
        <v>1644.41</v>
      </c>
    </row>
    <row r="99" spans="1:15" s="109" customFormat="1" ht="13.5" thickBot="1">
      <c r="A99" s="905" t="s">
        <v>217</v>
      </c>
      <c r="B99" s="905"/>
      <c r="C99" s="905"/>
      <c r="D99" s="905"/>
      <c r="E99" s="816"/>
      <c r="F99" s="816"/>
      <c r="G99" s="816"/>
      <c r="H99" s="816"/>
      <c r="I99" s="905"/>
      <c r="J99" s="905"/>
      <c r="K99" s="157">
        <f>K98*12</f>
        <v>19732.920000000002</v>
      </c>
    </row>
    <row r="100" spans="1:15" s="109" customFormat="1" ht="13.5" thickBot="1">
      <c r="A100" s="833" t="s">
        <v>529</v>
      </c>
      <c r="B100" s="834"/>
      <c r="C100" s="834"/>
      <c r="D100" s="834"/>
      <c r="E100" s="834"/>
      <c r="F100" s="834"/>
      <c r="G100" s="834"/>
      <c r="H100" s="834"/>
      <c r="I100" s="834"/>
      <c r="J100" s="835"/>
      <c r="K100" s="514">
        <f>(K99/12)</f>
        <v>1644.41</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0.45</v>
      </c>
      <c r="M103" s="304"/>
      <c r="N103" s="304"/>
      <c r="O103" s="304"/>
    </row>
    <row r="104" spans="1:15" ht="15" customHeight="1">
      <c r="G104" s="161"/>
      <c r="H104" s="823" t="s">
        <v>32</v>
      </c>
      <c r="I104" s="824"/>
      <c r="J104" s="825"/>
      <c r="K104" s="163">
        <f>J78</f>
        <v>0.35</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1.0174172936205297</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75:I75"/>
    <mergeCell ref="A76:I76"/>
    <mergeCell ref="B77:I77"/>
    <mergeCell ref="A66:J66"/>
    <mergeCell ref="B67:I67"/>
    <mergeCell ref="B68:I68"/>
    <mergeCell ref="A69:I69"/>
    <mergeCell ref="A70:K70"/>
    <mergeCell ref="A71:I71"/>
    <mergeCell ref="B73:H73"/>
    <mergeCell ref="I73:J73"/>
    <mergeCell ref="B74:H74"/>
    <mergeCell ref="I74:J74"/>
    <mergeCell ref="B78:I78"/>
    <mergeCell ref="A79:A86"/>
    <mergeCell ref="B79:H79"/>
    <mergeCell ref="I79:J79"/>
    <mergeCell ref="B80:E80"/>
    <mergeCell ref="I80:J80"/>
    <mergeCell ref="B81:E83"/>
    <mergeCell ref="H81:H86"/>
    <mergeCell ref="I81:J81"/>
    <mergeCell ref="A87:J87"/>
    <mergeCell ref="A88:K88"/>
    <mergeCell ref="A89:J89"/>
    <mergeCell ref="B90:J90"/>
    <mergeCell ref="B91:J91"/>
    <mergeCell ref="B92:J92"/>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66CCFF"/>
    <pageSetUpPr fitToPage="1"/>
  </sheetPr>
  <dimension ref="A1:O116"/>
  <sheetViews>
    <sheetView view="pageBreakPreview" zoomScaleNormal="100" zoomScaleSheetLayoutView="100" workbookViewId="0">
      <selection activeCell="J78" sqref="J78"/>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555</v>
      </c>
      <c r="B5" s="897"/>
      <c r="C5" s="897"/>
      <c r="D5" s="897"/>
      <c r="E5" s="897"/>
      <c r="F5" s="897"/>
      <c r="G5" s="897"/>
      <c r="H5" s="897"/>
      <c r="I5" s="898" t="s">
        <v>556</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1270</v>
      </c>
      <c r="M7" s="111"/>
    </row>
    <row r="8" spans="1:15">
      <c r="A8" s="409" t="s">
        <v>4</v>
      </c>
      <c r="B8" s="890" t="s">
        <v>397</v>
      </c>
      <c r="C8" s="890"/>
      <c r="D8" s="890"/>
      <c r="E8" s="890"/>
      <c r="F8" s="890"/>
      <c r="G8" s="890"/>
      <c r="H8" s="890"/>
      <c r="I8" s="890"/>
      <c r="J8" s="890"/>
      <c r="K8" s="333">
        <f>K7/220*6*5</f>
        <v>173.18181818181816</v>
      </c>
      <c r="L8" s="326"/>
      <c r="M8" s="111"/>
    </row>
    <row r="9" spans="1:15">
      <c r="A9" s="409" t="s">
        <v>6</v>
      </c>
      <c r="B9" s="374" t="s">
        <v>433</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173.18181818181816</v>
      </c>
      <c r="L10" s="113"/>
    </row>
    <row r="11" spans="1:15">
      <c r="A11" s="892" t="s">
        <v>208</v>
      </c>
      <c r="B11" s="892"/>
      <c r="C11" s="892"/>
      <c r="D11" s="892"/>
      <c r="E11" s="892"/>
      <c r="F11" s="892"/>
      <c r="G11" s="892"/>
      <c r="H11" s="892"/>
      <c r="I11" s="892"/>
      <c r="J11" s="892"/>
      <c r="K11" s="114">
        <f>SUM(K10:K10)</f>
        <v>173.18181818181816</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14.43</v>
      </c>
    </row>
    <row r="15" spans="1:15">
      <c r="A15" s="409" t="s">
        <v>6</v>
      </c>
      <c r="B15" s="857" t="s">
        <v>164</v>
      </c>
      <c r="C15" s="858"/>
      <c r="D15" s="858"/>
      <c r="E15" s="858"/>
      <c r="F15" s="858"/>
      <c r="G15" s="858"/>
      <c r="H15" s="858"/>
      <c r="I15" s="859"/>
      <c r="J15" s="118">
        <f>J54*33.33%</f>
        <v>2.7774999999999998E-2</v>
      </c>
      <c r="K15" s="119">
        <f>ROUND($J15*K$11,2)</f>
        <v>4.8099999999999996</v>
      </c>
      <c r="M15" s="109" t="s">
        <v>233</v>
      </c>
    </row>
    <row r="16" spans="1:15">
      <c r="A16" s="409" t="s">
        <v>10</v>
      </c>
      <c r="B16" s="411" t="s">
        <v>213</v>
      </c>
      <c r="C16" s="411"/>
      <c r="D16" s="411"/>
      <c r="E16" s="411"/>
      <c r="F16" s="411"/>
      <c r="G16" s="411"/>
      <c r="H16" s="411"/>
      <c r="I16" s="412"/>
      <c r="J16" s="118">
        <f>SUM(J14:J15)</f>
        <v>0.11107499999999999</v>
      </c>
      <c r="K16" s="112">
        <f>SUM(K14:K15)</f>
        <v>19.239999999999998</v>
      </c>
    </row>
    <row r="17" spans="1:15">
      <c r="A17" s="409" t="s">
        <v>12</v>
      </c>
      <c r="B17" s="328" t="s">
        <v>398</v>
      </c>
      <c r="C17" s="328"/>
      <c r="D17" s="328"/>
      <c r="E17" s="328"/>
      <c r="F17" s="328"/>
      <c r="G17" s="328"/>
      <c r="H17" s="328"/>
      <c r="I17" s="329"/>
      <c r="J17" s="330">
        <f>J16*J28</f>
        <v>3.2767125000000001E-2</v>
      </c>
      <c r="K17" s="331">
        <f>ROUND($J17*K$11,2)</f>
        <v>5.67</v>
      </c>
    </row>
    <row r="18" spans="1:15">
      <c r="A18" s="847" t="s">
        <v>165</v>
      </c>
      <c r="B18" s="848"/>
      <c r="C18" s="848"/>
      <c r="D18" s="848"/>
      <c r="E18" s="848"/>
      <c r="F18" s="848"/>
      <c r="G18" s="848"/>
      <c r="H18" s="848"/>
      <c r="I18" s="863"/>
      <c r="J18" s="125">
        <f>SUM(J16:J17)</f>
        <v>0.14384212499999999</v>
      </c>
      <c r="K18" s="126">
        <f>SUM(K16:K17)</f>
        <v>24.909999999999997</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34.64</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13.85</v>
      </c>
      <c r="L25" s="121"/>
    </row>
    <row r="26" spans="1:15">
      <c r="A26" s="409" t="s">
        <v>15</v>
      </c>
      <c r="B26" s="844" t="s">
        <v>22</v>
      </c>
      <c r="C26" s="844"/>
      <c r="D26" s="844"/>
      <c r="E26" s="844"/>
      <c r="F26" s="410" t="s">
        <v>23</v>
      </c>
      <c r="G26" s="122">
        <v>0.03</v>
      </c>
      <c r="H26" s="410" t="s">
        <v>24</v>
      </c>
      <c r="I26" s="303">
        <v>0.5</v>
      </c>
      <c r="J26" s="104">
        <f>G26*I26</f>
        <v>1.4999999999999999E-2</v>
      </c>
      <c r="K26" s="119">
        <f t="shared" si="0"/>
        <v>2.6</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51.09</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4</v>
      </c>
      <c r="J30" s="402">
        <v>13.8</v>
      </c>
      <c r="K30" s="123">
        <f>(J30*I30)*80%</f>
        <v>44.160000000000004</v>
      </c>
    </row>
    <row r="31" spans="1:15">
      <c r="A31" s="409" t="s">
        <v>434</v>
      </c>
      <c r="B31" s="150" t="s">
        <v>435</v>
      </c>
      <c r="C31" s="151"/>
      <c r="D31" s="151"/>
      <c r="E31" s="151"/>
      <c r="F31" s="151"/>
      <c r="G31" s="151"/>
      <c r="H31" s="151"/>
      <c r="I31" s="405">
        <v>0</v>
      </c>
      <c r="J31" s="402">
        <v>0</v>
      </c>
      <c r="K31" s="123">
        <f>(J31*I31)*80%</f>
        <v>0</v>
      </c>
    </row>
    <row r="32" spans="1:15" ht="15.75" thickBot="1">
      <c r="A32" s="409" t="s">
        <v>6</v>
      </c>
      <c r="B32" s="876" t="s">
        <v>218</v>
      </c>
      <c r="C32" s="877"/>
      <c r="D32" s="877"/>
      <c r="E32" s="877"/>
      <c r="F32" s="877"/>
      <c r="G32" s="877"/>
      <c r="H32" s="152"/>
      <c r="I32" s="406">
        <v>8</v>
      </c>
      <c r="J32" s="403">
        <v>4.5</v>
      </c>
      <c r="K32" s="123">
        <f>I32*2*J32</f>
        <v>72</v>
      </c>
    </row>
    <row r="33" spans="1:11">
      <c r="A33" s="409" t="s">
        <v>10</v>
      </c>
      <c r="B33" s="876" t="s">
        <v>219</v>
      </c>
      <c r="C33" s="877"/>
      <c r="D33" s="877"/>
      <c r="E33" s="877"/>
      <c r="F33" s="877"/>
      <c r="G33" s="877"/>
      <c r="H33" s="877"/>
      <c r="I33" s="883"/>
      <c r="J33" s="153">
        <v>-0.06</v>
      </c>
      <c r="K33" s="154">
        <f>K8*J33</f>
        <v>-10.390909090909089</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v>0</v>
      </c>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209.26909090909089</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24.909999999999997</v>
      </c>
    </row>
    <row r="42" spans="1:11" s="109" customFormat="1" ht="12.75">
      <c r="A42" s="409" t="s">
        <v>175</v>
      </c>
      <c r="B42" s="857" t="s">
        <v>178</v>
      </c>
      <c r="C42" s="858"/>
      <c r="D42" s="858"/>
      <c r="E42" s="858"/>
      <c r="F42" s="858"/>
      <c r="G42" s="858"/>
      <c r="H42" s="858"/>
      <c r="I42" s="859"/>
      <c r="J42" s="408"/>
      <c r="K42" s="112">
        <f>K28</f>
        <v>51.09</v>
      </c>
    </row>
    <row r="43" spans="1:11" s="109" customFormat="1" ht="12.75">
      <c r="A43" s="409" t="s">
        <v>176</v>
      </c>
      <c r="B43" s="857" t="s">
        <v>180</v>
      </c>
      <c r="C43" s="858"/>
      <c r="D43" s="858"/>
      <c r="E43" s="858"/>
      <c r="F43" s="858"/>
      <c r="G43" s="858"/>
      <c r="H43" s="858"/>
      <c r="I43" s="859"/>
      <c r="J43" s="408"/>
      <c r="K43" s="112">
        <f>K39</f>
        <v>209.26909090909089</v>
      </c>
    </row>
    <row r="44" spans="1:11" s="109" customFormat="1" ht="12.75">
      <c r="A44" s="847" t="s">
        <v>179</v>
      </c>
      <c r="B44" s="848"/>
      <c r="C44" s="848"/>
      <c r="D44" s="848"/>
      <c r="E44" s="848"/>
      <c r="F44" s="848"/>
      <c r="G44" s="848"/>
      <c r="H44" s="848"/>
      <c r="I44" s="863"/>
      <c r="J44" s="125"/>
      <c r="K44" s="126">
        <f>SUM(K41:K43)</f>
        <v>285.26909090909089</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0.72</v>
      </c>
    </row>
    <row r="47" spans="1:11" s="109" customFormat="1" ht="12.75">
      <c r="A47" s="409" t="s">
        <v>6</v>
      </c>
      <c r="B47" s="844" t="s">
        <v>27</v>
      </c>
      <c r="C47" s="844"/>
      <c r="D47" s="844"/>
      <c r="E47" s="844"/>
      <c r="F47" s="844"/>
      <c r="G47" s="844"/>
      <c r="H47" s="844"/>
      <c r="I47" s="844"/>
      <c r="J47" s="118">
        <f>J25*J46</f>
        <v>3.3333333333333332E-4</v>
      </c>
      <c r="K47" s="112">
        <f>ROUND(J47*$K$11,2)</f>
        <v>0.06</v>
      </c>
    </row>
    <row r="48" spans="1:11" s="109" customFormat="1" ht="12.75">
      <c r="A48" s="409" t="s">
        <v>10</v>
      </c>
      <c r="B48" s="844" t="s">
        <v>184</v>
      </c>
      <c r="C48" s="844"/>
      <c r="D48" s="844"/>
      <c r="E48" s="844"/>
      <c r="F48" s="844"/>
      <c r="G48" s="844"/>
      <c r="H48" s="844"/>
      <c r="I48" s="844"/>
      <c r="J48" s="118">
        <f>(1/30)/12*7</f>
        <v>1.9444444444444445E-2</v>
      </c>
      <c r="K48" s="112">
        <f>ROUND(J48*$K$11,2)</f>
        <v>3.37</v>
      </c>
    </row>
    <row r="49" spans="1:15" s="109" customFormat="1" ht="12.75">
      <c r="A49" s="409" t="s">
        <v>12</v>
      </c>
      <c r="B49" s="844" t="s">
        <v>183</v>
      </c>
      <c r="C49" s="844"/>
      <c r="D49" s="844"/>
      <c r="E49" s="844"/>
      <c r="F49" s="844"/>
      <c r="G49" s="844"/>
      <c r="H49" s="844"/>
      <c r="I49" s="844"/>
      <c r="J49" s="118">
        <f>J28*J48</f>
        <v>5.736111111111112E-3</v>
      </c>
      <c r="K49" s="112">
        <f>ROUND(J49*$K$11,2)</f>
        <v>0.99</v>
      </c>
    </row>
    <row r="50" spans="1:15" s="109" customFormat="1" ht="12.75">
      <c r="A50" s="324" t="s">
        <v>14</v>
      </c>
      <c r="B50" s="411" t="s">
        <v>399</v>
      </c>
      <c r="C50" s="411"/>
      <c r="D50" s="411"/>
      <c r="E50" s="411"/>
      <c r="F50" s="411"/>
      <c r="G50" s="411"/>
      <c r="H50" s="411"/>
      <c r="I50" s="412"/>
      <c r="J50" s="118">
        <f>0.5*J25</f>
        <v>0.04</v>
      </c>
      <c r="K50" s="112">
        <f>ROUND(J50*$K$11,2)</f>
        <v>6.93</v>
      </c>
    </row>
    <row r="51" spans="1:15" s="109" customFormat="1" ht="12.75">
      <c r="A51" s="847" t="s">
        <v>181</v>
      </c>
      <c r="B51" s="848"/>
      <c r="C51" s="848"/>
      <c r="D51" s="848"/>
      <c r="E51" s="848"/>
      <c r="F51" s="848"/>
      <c r="G51" s="848"/>
      <c r="H51" s="848"/>
      <c r="I51" s="863"/>
      <c r="J51" s="125">
        <f>SUM(J46:J50)</f>
        <v>6.9680555555555551E-2</v>
      </c>
      <c r="K51" s="126">
        <f>SUM(K46:K50)</f>
        <v>12.07</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14.43</v>
      </c>
    </row>
    <row r="55" spans="1:15">
      <c r="A55" s="409" t="s">
        <v>6</v>
      </c>
      <c r="B55" s="844" t="s">
        <v>188</v>
      </c>
      <c r="C55" s="844"/>
      <c r="D55" s="844"/>
      <c r="E55" s="844"/>
      <c r="F55" s="874" t="s">
        <v>29</v>
      </c>
      <c r="G55" s="874"/>
      <c r="H55" s="874"/>
      <c r="I55" s="131">
        <v>6</v>
      </c>
      <c r="J55" s="104">
        <f>I55/30/12</f>
        <v>1.6666666666666666E-2</v>
      </c>
      <c r="K55" s="112">
        <f>ROUND(J55*$K$11,2)</f>
        <v>2.89</v>
      </c>
    </row>
    <row r="56" spans="1:15">
      <c r="A56" s="409" t="s">
        <v>10</v>
      </c>
      <c r="B56" s="844" t="s">
        <v>30</v>
      </c>
      <c r="C56" s="844"/>
      <c r="D56" s="844"/>
      <c r="E56" s="844"/>
      <c r="F56" s="874" t="s">
        <v>28</v>
      </c>
      <c r="G56" s="874"/>
      <c r="H56" s="132">
        <v>1.4999999999999999E-2</v>
      </c>
      <c r="I56" s="133">
        <v>5</v>
      </c>
      <c r="J56" s="104">
        <f>I56/30/12*H56</f>
        <v>2.0833333333333332E-4</v>
      </c>
      <c r="K56" s="112">
        <f>ROUND(J56*$K$11,2)</f>
        <v>0.04</v>
      </c>
    </row>
    <row r="57" spans="1:15">
      <c r="A57" s="409" t="s">
        <v>12</v>
      </c>
      <c r="B57" s="844" t="s">
        <v>189</v>
      </c>
      <c r="C57" s="844"/>
      <c r="D57" s="844"/>
      <c r="E57" s="131"/>
      <c r="F57" s="874" t="s">
        <v>28</v>
      </c>
      <c r="G57" s="874"/>
      <c r="H57" s="132">
        <v>8.0000000000000002E-3</v>
      </c>
      <c r="I57" s="134">
        <v>20</v>
      </c>
      <c r="J57" s="104">
        <f>I57/30/12*H57</f>
        <v>4.4444444444444441E-4</v>
      </c>
      <c r="K57" s="112">
        <f>ROUND(J57*$K$11,2)</f>
        <v>0.08</v>
      </c>
    </row>
    <row r="58" spans="1:15">
      <c r="A58" s="409" t="s">
        <v>14</v>
      </c>
      <c r="B58" s="844" t="s">
        <v>190</v>
      </c>
      <c r="C58" s="844"/>
      <c r="D58" s="844"/>
      <c r="E58" s="131"/>
      <c r="F58" s="875"/>
      <c r="G58" s="874"/>
      <c r="H58" s="132">
        <v>0.1</v>
      </c>
      <c r="I58" s="134">
        <v>10</v>
      </c>
      <c r="J58" s="104">
        <f>I58/30/12*H58</f>
        <v>2.7777777777777779E-3</v>
      </c>
      <c r="K58" s="112">
        <f>ROUND(J58*$K$11,2)</f>
        <v>0.48</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17.919999999999998</v>
      </c>
    </row>
    <row r="61" spans="1:15">
      <c r="A61" s="409" t="s">
        <v>12</v>
      </c>
      <c r="B61" s="328" t="s">
        <v>215</v>
      </c>
      <c r="C61" s="328"/>
      <c r="D61" s="328"/>
      <c r="E61" s="328"/>
      <c r="F61" s="328"/>
      <c r="G61" s="328"/>
      <c r="H61" s="328"/>
      <c r="I61" s="329"/>
      <c r="J61" s="332">
        <f>J60*J28</f>
        <v>3.0512013888888894E-2</v>
      </c>
      <c r="K61" s="327">
        <f>ROUND(J61*$K$11,2)</f>
        <v>5.28</v>
      </c>
    </row>
    <row r="62" spans="1:15">
      <c r="A62" s="847" t="s">
        <v>192</v>
      </c>
      <c r="B62" s="848"/>
      <c r="C62" s="848"/>
      <c r="D62" s="848"/>
      <c r="E62" s="848"/>
      <c r="F62" s="848"/>
      <c r="G62" s="848"/>
      <c r="H62" s="848"/>
      <c r="I62" s="863"/>
      <c r="J62" s="148">
        <f>SUM(J60:J61)</f>
        <v>0.13394256944444444</v>
      </c>
      <c r="K62" s="126">
        <f>SUM(K60:K61)</f>
        <v>23.2</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23.2</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23.2</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SERVENTES'!F16</f>
        <v>52.833333333333336</v>
      </c>
    </row>
    <row r="73" spans="1:13" s="109" customFormat="1" ht="12.75">
      <c r="A73" s="409" t="s">
        <v>6</v>
      </c>
      <c r="B73" s="866" t="s">
        <v>212</v>
      </c>
      <c r="C73" s="867"/>
      <c r="D73" s="867"/>
      <c r="E73" s="867"/>
      <c r="F73" s="867"/>
      <c r="G73" s="867"/>
      <c r="H73" s="867"/>
      <c r="I73" s="845">
        <v>0</v>
      </c>
      <c r="J73" s="846"/>
      <c r="K73" s="124">
        <f>MATERIAIS!T224</f>
        <v>408.66666666666669</v>
      </c>
      <c r="L73" s="137"/>
      <c r="M73" s="111"/>
    </row>
    <row r="74" spans="1:13" s="109" customFormat="1" ht="12.75">
      <c r="A74" s="409" t="s">
        <v>10</v>
      </c>
      <c r="B74" s="908" t="s">
        <v>394</v>
      </c>
      <c r="C74" s="909"/>
      <c r="D74" s="909"/>
      <c r="E74" s="909"/>
      <c r="F74" s="909"/>
      <c r="G74" s="909"/>
      <c r="H74" s="909"/>
      <c r="I74" s="845">
        <v>0</v>
      </c>
      <c r="J74" s="846"/>
      <c r="K74" s="124">
        <f>EQUIPAMENTOS!T51</f>
        <v>11.666666666666666</v>
      </c>
      <c r="L74" s="137"/>
      <c r="M74" s="111"/>
    </row>
    <row r="75" spans="1:13" s="109" customFormat="1" ht="12.75">
      <c r="A75" s="847" t="s">
        <v>207</v>
      </c>
      <c r="B75" s="848"/>
      <c r="C75" s="848"/>
      <c r="D75" s="848"/>
      <c r="E75" s="848"/>
      <c r="F75" s="848"/>
      <c r="G75" s="848"/>
      <c r="H75" s="848"/>
      <c r="I75" s="863"/>
      <c r="J75" s="125"/>
      <c r="K75" s="126">
        <f>SUM(K72:K74)</f>
        <v>473.16666666666669</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0.35</v>
      </c>
      <c r="K77" s="119">
        <f>J77*K95</f>
        <v>338.41065151515147</v>
      </c>
      <c r="L77" s="139"/>
    </row>
    <row r="78" spans="1:13" s="109" customFormat="1" ht="12.75">
      <c r="A78" s="409" t="s">
        <v>6</v>
      </c>
      <c r="B78" s="829" t="s">
        <v>32</v>
      </c>
      <c r="C78" s="829"/>
      <c r="D78" s="829"/>
      <c r="E78" s="829"/>
      <c r="F78" s="829"/>
      <c r="G78" s="829"/>
      <c r="H78" s="829"/>
      <c r="I78" s="829"/>
      <c r="J78" s="138">
        <v>0.3</v>
      </c>
      <c r="K78" s="119">
        <f>J78*(K95+K77)</f>
        <v>391.58946818181818</v>
      </c>
      <c r="L78" s="139"/>
    </row>
    <row r="79" spans="1:13" s="109" customFormat="1" ht="12.75">
      <c r="A79" s="836" t="s">
        <v>10</v>
      </c>
      <c r="B79" s="852" t="s">
        <v>33</v>
      </c>
      <c r="C79" s="853"/>
      <c r="D79" s="853"/>
      <c r="E79" s="853"/>
      <c r="F79" s="853"/>
      <c r="G79" s="853"/>
      <c r="H79" s="854"/>
      <c r="I79" s="855">
        <f>K95+K77+K78</f>
        <v>1696.8876954545453</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3.01</v>
      </c>
      <c r="J81" s="840"/>
      <c r="K81" s="841">
        <f>SUM(I81:J86)</f>
        <v>51.94</v>
      </c>
    </row>
    <row r="82" spans="1:11" s="109" customFormat="1" ht="12.75">
      <c r="A82" s="836"/>
      <c r="B82" s="844"/>
      <c r="C82" s="844"/>
      <c r="D82" s="844"/>
      <c r="E82" s="844"/>
      <c r="F82" s="413" t="s">
        <v>38</v>
      </c>
      <c r="G82" s="575">
        <v>7.9500000000000005E-3</v>
      </c>
      <c r="H82" s="838"/>
      <c r="I82" s="839">
        <f t="shared" si="1"/>
        <v>13.9</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35.03</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781.94011969696965</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173.18181818181816</v>
      </c>
    </row>
    <row r="91" spans="1:11" s="109" customFormat="1" ht="12.75">
      <c r="A91" s="409" t="s">
        <v>6</v>
      </c>
      <c r="B91" s="829" t="str">
        <f>A12</f>
        <v>MÓDULO 2 – ENCARGOS E BENEFÍCIOS ANUAIS, MENSAIS E DIÁRIOS</v>
      </c>
      <c r="C91" s="829"/>
      <c r="D91" s="829"/>
      <c r="E91" s="829"/>
      <c r="F91" s="829"/>
      <c r="G91" s="829"/>
      <c r="H91" s="829"/>
      <c r="I91" s="829"/>
      <c r="J91" s="829"/>
      <c r="K91" s="142">
        <f>K44</f>
        <v>285.26909090909089</v>
      </c>
    </row>
    <row r="92" spans="1:11" s="109" customFormat="1" ht="12.75">
      <c r="A92" s="409" t="s">
        <v>10</v>
      </c>
      <c r="B92" s="829" t="str">
        <f>A45</f>
        <v>MÓDULO 3 – PROVISÃO PARA RESCISÃO</v>
      </c>
      <c r="C92" s="829"/>
      <c r="D92" s="829"/>
      <c r="E92" s="829"/>
      <c r="F92" s="829"/>
      <c r="G92" s="829"/>
      <c r="H92" s="829"/>
      <c r="I92" s="829"/>
      <c r="J92" s="829"/>
      <c r="K92" s="142">
        <f>K51</f>
        <v>12.07</v>
      </c>
    </row>
    <row r="93" spans="1:11" s="109" customFormat="1" ht="12.75">
      <c r="A93" s="409" t="s">
        <v>12</v>
      </c>
      <c r="B93" s="829" t="str">
        <f>A52</f>
        <v>MÓDULO 4 – CUSTO DE REPOSIÇÃO DO PROFISSIONAL AUSENTE</v>
      </c>
      <c r="C93" s="829"/>
      <c r="D93" s="829"/>
      <c r="E93" s="829"/>
      <c r="F93" s="829"/>
      <c r="G93" s="829"/>
      <c r="H93" s="829"/>
      <c r="I93" s="829"/>
      <c r="J93" s="829"/>
      <c r="K93" s="142">
        <f>K62</f>
        <v>23.2</v>
      </c>
    </row>
    <row r="94" spans="1:11" s="109" customFormat="1" ht="12.75">
      <c r="A94" s="409" t="s">
        <v>14</v>
      </c>
      <c r="B94" s="829" t="str">
        <f>A71</f>
        <v>MÓDULO 5 – INSUMOS DIVERSOS</v>
      </c>
      <c r="C94" s="829"/>
      <c r="D94" s="829"/>
      <c r="E94" s="829"/>
      <c r="F94" s="829"/>
      <c r="G94" s="829"/>
      <c r="H94" s="829"/>
      <c r="I94" s="829"/>
      <c r="J94" s="829"/>
      <c r="K94" s="142">
        <f>K75</f>
        <v>473.16666666666669</v>
      </c>
    </row>
    <row r="95" spans="1:11" s="109" customFormat="1" ht="12.75">
      <c r="A95" s="830" t="s">
        <v>209</v>
      </c>
      <c r="B95" s="830"/>
      <c r="C95" s="830"/>
      <c r="D95" s="830"/>
      <c r="E95" s="830"/>
      <c r="F95" s="830"/>
      <c r="G95" s="830"/>
      <c r="H95" s="830"/>
      <c r="I95" s="830"/>
      <c r="J95" s="830"/>
      <c r="K95" s="107">
        <f>SUM(K90:K94)</f>
        <v>966.88757575757563</v>
      </c>
    </row>
    <row r="96" spans="1:11" s="109" customFormat="1" ht="12.75">
      <c r="A96" s="409" t="s">
        <v>14</v>
      </c>
      <c r="B96" s="829" t="s">
        <v>46</v>
      </c>
      <c r="C96" s="829"/>
      <c r="D96" s="829"/>
      <c r="E96" s="829"/>
      <c r="F96" s="829"/>
      <c r="G96" s="829"/>
      <c r="H96" s="829"/>
      <c r="I96" s="829"/>
      <c r="J96" s="829"/>
      <c r="K96" s="108">
        <f>K97-K95</f>
        <v>781.94242424242429</v>
      </c>
    </row>
    <row r="97" spans="1:15" s="109" customFormat="1" ht="12.75">
      <c r="A97" s="831" t="s">
        <v>47</v>
      </c>
      <c r="B97" s="831"/>
      <c r="C97" s="831"/>
      <c r="D97" s="831"/>
      <c r="E97" s="831"/>
      <c r="F97" s="831"/>
      <c r="G97" s="831"/>
      <c r="H97" s="831"/>
      <c r="I97" s="831"/>
      <c r="J97" s="831"/>
      <c r="K97" s="143">
        <f>ROUND(I79/(1-$H$81),2)</f>
        <v>1748.83</v>
      </c>
    </row>
    <row r="98" spans="1:15" s="109" customFormat="1" ht="12.75">
      <c r="A98" s="832" t="s">
        <v>214</v>
      </c>
      <c r="B98" s="821"/>
      <c r="C98" s="821"/>
      <c r="D98" s="821"/>
      <c r="E98" s="821"/>
      <c r="F98" s="821"/>
      <c r="G98" s="821"/>
      <c r="H98" s="821"/>
      <c r="I98" s="155"/>
      <c r="J98" s="407">
        <v>1</v>
      </c>
      <c r="K98" s="156">
        <f>K97</f>
        <v>1748.83</v>
      </c>
    </row>
    <row r="99" spans="1:15" s="109" customFormat="1" ht="13.5" thickBot="1">
      <c r="A99" s="905" t="s">
        <v>217</v>
      </c>
      <c r="B99" s="905"/>
      <c r="C99" s="905"/>
      <c r="D99" s="905"/>
      <c r="E99" s="816"/>
      <c r="F99" s="816"/>
      <c r="G99" s="816"/>
      <c r="H99" s="816"/>
      <c r="I99" s="905"/>
      <c r="J99" s="905"/>
      <c r="K99" s="157">
        <f>K98*12</f>
        <v>20985.96</v>
      </c>
    </row>
    <row r="100" spans="1:15" s="109" customFormat="1" ht="13.5" thickBot="1">
      <c r="A100" s="833" t="s">
        <v>529</v>
      </c>
      <c r="B100" s="834"/>
      <c r="C100" s="834"/>
      <c r="D100" s="834"/>
      <c r="E100" s="834"/>
      <c r="F100" s="834"/>
      <c r="G100" s="834"/>
      <c r="H100" s="834"/>
      <c r="I100" s="834"/>
      <c r="J100" s="835"/>
      <c r="K100" s="514">
        <f>(K99/12)</f>
        <v>1748.83</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0.35</v>
      </c>
      <c r="M103" s="304"/>
      <c r="N103" s="304"/>
      <c r="O103" s="304"/>
    </row>
    <row r="104" spans="1:15" ht="15" customHeight="1">
      <c r="G104" s="161"/>
      <c r="H104" s="823" t="s">
        <v>32</v>
      </c>
      <c r="I104" s="824"/>
      <c r="J104" s="825"/>
      <c r="K104" s="163">
        <f>J78</f>
        <v>0.3</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0.80871895290116469</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75:I75"/>
    <mergeCell ref="A76:I76"/>
    <mergeCell ref="B77:I77"/>
    <mergeCell ref="A66:J66"/>
    <mergeCell ref="B67:I67"/>
    <mergeCell ref="B68:I68"/>
    <mergeCell ref="A69:I69"/>
    <mergeCell ref="A70:K70"/>
    <mergeCell ref="A71:I71"/>
    <mergeCell ref="B73:H73"/>
    <mergeCell ref="I73:J73"/>
    <mergeCell ref="B74:H74"/>
    <mergeCell ref="I74:J74"/>
    <mergeCell ref="B78:I78"/>
    <mergeCell ref="A79:A86"/>
    <mergeCell ref="B79:H79"/>
    <mergeCell ref="I79:J79"/>
    <mergeCell ref="B80:E80"/>
    <mergeCell ref="I80:J80"/>
    <mergeCell ref="B81:E83"/>
    <mergeCell ref="H81:H86"/>
    <mergeCell ref="I81:J81"/>
    <mergeCell ref="A87:J87"/>
    <mergeCell ref="A88:K88"/>
    <mergeCell ref="A89:J89"/>
    <mergeCell ref="B90:J90"/>
    <mergeCell ref="B91:J91"/>
    <mergeCell ref="B92:J92"/>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66CCFF"/>
    <pageSetUpPr fitToPage="1"/>
  </sheetPr>
  <dimension ref="A1:O116"/>
  <sheetViews>
    <sheetView view="pageBreakPreview" zoomScaleNormal="100" zoomScaleSheetLayoutView="100" workbookViewId="0">
      <selection activeCell="A75" sqref="A75:I75"/>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399"/>
      <c r="B4" s="335"/>
      <c r="C4" s="335"/>
      <c r="D4" s="335"/>
      <c r="E4" s="335"/>
      <c r="F4" s="335"/>
      <c r="G4" s="335"/>
      <c r="H4" s="335"/>
      <c r="I4" s="335"/>
      <c r="J4" s="335"/>
      <c r="K4" s="400"/>
      <c r="L4" s="305"/>
      <c r="M4" s="305"/>
      <c r="N4" s="305"/>
      <c r="O4" s="305"/>
    </row>
    <row r="5" spans="1:15" ht="27" customHeight="1">
      <c r="A5" s="896" t="s">
        <v>530</v>
      </c>
      <c r="B5" s="897"/>
      <c r="C5" s="897"/>
      <c r="D5" s="897"/>
      <c r="E5" s="897"/>
      <c r="F5" s="897"/>
      <c r="G5" s="897"/>
      <c r="H5" s="897"/>
      <c r="I5" s="898" t="s">
        <v>557</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1395.91</v>
      </c>
      <c r="M7" s="111"/>
    </row>
    <row r="8" spans="1:15">
      <c r="A8" s="385" t="s">
        <v>4</v>
      </c>
      <c r="B8" s="890" t="s">
        <v>397</v>
      </c>
      <c r="C8" s="890"/>
      <c r="D8" s="890"/>
      <c r="E8" s="890"/>
      <c r="F8" s="890"/>
      <c r="G8" s="890"/>
      <c r="H8" s="890"/>
      <c r="I8" s="890"/>
      <c r="J8" s="890"/>
      <c r="K8" s="333">
        <f>K7/220*8</f>
        <v>50.760363636363643</v>
      </c>
      <c r="L8" s="326"/>
      <c r="M8" s="111"/>
    </row>
    <row r="9" spans="1:15">
      <c r="A9" s="385" t="s">
        <v>6</v>
      </c>
      <c r="B9" s="374" t="s">
        <v>458</v>
      </c>
      <c r="C9" s="375"/>
      <c r="D9" s="375"/>
      <c r="E9" s="375"/>
      <c r="F9" s="375"/>
      <c r="G9" s="375"/>
      <c r="H9" s="375"/>
      <c r="I9" s="375"/>
      <c r="J9" s="376">
        <v>0</v>
      </c>
      <c r="K9" s="333">
        <v>0</v>
      </c>
      <c r="L9" s="326"/>
      <c r="M9" s="111"/>
    </row>
    <row r="10" spans="1:15">
      <c r="A10" s="385"/>
      <c r="B10" s="866" t="s">
        <v>220</v>
      </c>
      <c r="C10" s="867"/>
      <c r="D10" s="867"/>
      <c r="E10" s="867"/>
      <c r="F10" s="867"/>
      <c r="G10" s="867"/>
      <c r="H10" s="867"/>
      <c r="I10" s="867"/>
      <c r="J10" s="891"/>
      <c r="K10" s="302">
        <f>SUM(K8:K9)</f>
        <v>50.760363636363643</v>
      </c>
      <c r="L10" s="113"/>
    </row>
    <row r="11" spans="1:15">
      <c r="A11" s="892" t="s">
        <v>208</v>
      </c>
      <c r="B11" s="892"/>
      <c r="C11" s="892"/>
      <c r="D11" s="892"/>
      <c r="E11" s="892"/>
      <c r="F11" s="892"/>
      <c r="G11" s="892"/>
      <c r="H11" s="892"/>
      <c r="I11" s="892"/>
      <c r="J11" s="892"/>
      <c r="K11" s="114">
        <f>SUM(K10:K10)</f>
        <v>50.760363636363643</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385" t="s">
        <v>4</v>
      </c>
      <c r="B14" s="857" t="s">
        <v>163</v>
      </c>
      <c r="C14" s="858"/>
      <c r="D14" s="858"/>
      <c r="E14" s="858"/>
      <c r="F14" s="858"/>
      <c r="G14" s="858"/>
      <c r="H14" s="858"/>
      <c r="I14" s="859"/>
      <c r="J14" s="118">
        <v>8.3299999999999999E-2</v>
      </c>
      <c r="K14" s="119">
        <f>ROUND($J14*K$11,2)</f>
        <v>4.2300000000000004</v>
      </c>
    </row>
    <row r="15" spans="1:15">
      <c r="A15" s="385" t="s">
        <v>6</v>
      </c>
      <c r="B15" s="857" t="s">
        <v>164</v>
      </c>
      <c r="C15" s="858"/>
      <c r="D15" s="858"/>
      <c r="E15" s="858"/>
      <c r="F15" s="858"/>
      <c r="G15" s="858"/>
      <c r="H15" s="858"/>
      <c r="I15" s="859"/>
      <c r="J15" s="118">
        <f>J54*33.33%</f>
        <v>2.7774999999999998E-2</v>
      </c>
      <c r="K15" s="119">
        <f>ROUND($J15*K$11,2)</f>
        <v>1.41</v>
      </c>
      <c r="M15" s="109" t="s">
        <v>233</v>
      </c>
    </row>
    <row r="16" spans="1:15">
      <c r="A16" s="385" t="s">
        <v>10</v>
      </c>
      <c r="B16" s="381" t="s">
        <v>213</v>
      </c>
      <c r="C16" s="381"/>
      <c r="D16" s="381"/>
      <c r="E16" s="381"/>
      <c r="F16" s="381"/>
      <c r="G16" s="381"/>
      <c r="H16" s="381"/>
      <c r="I16" s="382"/>
      <c r="J16" s="118">
        <f>SUM(J14:J15)</f>
        <v>0.11107499999999999</v>
      </c>
      <c r="K16" s="112">
        <f>SUM(K14:K15)</f>
        <v>5.6400000000000006</v>
      </c>
    </row>
    <row r="17" spans="1:15">
      <c r="A17" s="385" t="s">
        <v>12</v>
      </c>
      <c r="B17" s="328" t="s">
        <v>398</v>
      </c>
      <c r="C17" s="328"/>
      <c r="D17" s="328"/>
      <c r="E17" s="328"/>
      <c r="F17" s="328"/>
      <c r="G17" s="328"/>
      <c r="H17" s="328"/>
      <c r="I17" s="329"/>
      <c r="J17" s="330">
        <f>J16*J28</f>
        <v>3.2767125000000001E-2</v>
      </c>
      <c r="K17" s="331">
        <f>ROUND($J17*K$11,2)</f>
        <v>1.66</v>
      </c>
    </row>
    <row r="18" spans="1:15">
      <c r="A18" s="847" t="s">
        <v>165</v>
      </c>
      <c r="B18" s="848"/>
      <c r="C18" s="848"/>
      <c r="D18" s="848"/>
      <c r="E18" s="848"/>
      <c r="F18" s="848"/>
      <c r="G18" s="848"/>
      <c r="H18" s="848"/>
      <c r="I18" s="863"/>
      <c r="J18" s="125">
        <f>SUM(J16:J17)</f>
        <v>0.14384212499999999</v>
      </c>
      <c r="K18" s="126">
        <f>SUM(K16:K17)</f>
        <v>7.3000000000000007</v>
      </c>
    </row>
    <row r="19" spans="1:15">
      <c r="A19" s="872" t="s">
        <v>167</v>
      </c>
      <c r="B19" s="873"/>
      <c r="C19" s="873"/>
      <c r="D19" s="873"/>
      <c r="E19" s="873"/>
      <c r="F19" s="873"/>
      <c r="G19" s="873"/>
      <c r="H19" s="873"/>
      <c r="I19" s="873"/>
      <c r="J19" s="117" t="s">
        <v>9</v>
      </c>
      <c r="K19" s="112" t="s">
        <v>166</v>
      </c>
    </row>
    <row r="20" spans="1:15">
      <c r="A20" s="385" t="s">
        <v>4</v>
      </c>
      <c r="B20" s="844" t="s">
        <v>17</v>
      </c>
      <c r="C20" s="844"/>
      <c r="D20" s="844"/>
      <c r="E20" s="844"/>
      <c r="F20" s="844"/>
      <c r="G20" s="844"/>
      <c r="H20" s="844"/>
      <c r="I20" s="844"/>
      <c r="J20" s="103">
        <v>0.2</v>
      </c>
      <c r="K20" s="119">
        <f>ROUND($J$20*K11,2)</f>
        <v>10.15</v>
      </c>
    </row>
    <row r="21" spans="1:15">
      <c r="A21" s="385" t="s">
        <v>6</v>
      </c>
      <c r="B21" s="844" t="s">
        <v>18</v>
      </c>
      <c r="C21" s="844"/>
      <c r="D21" s="844"/>
      <c r="E21" s="844"/>
      <c r="F21" s="844"/>
      <c r="G21" s="844"/>
      <c r="H21" s="844"/>
      <c r="I21" s="844"/>
      <c r="J21" s="103">
        <v>0</v>
      </c>
      <c r="K21" s="119">
        <f>ROUND($J$21*K11,2)</f>
        <v>0</v>
      </c>
    </row>
    <row r="22" spans="1:15">
      <c r="A22" s="385" t="s">
        <v>10</v>
      </c>
      <c r="B22" s="844" t="s">
        <v>19</v>
      </c>
      <c r="C22" s="844"/>
      <c r="D22" s="844"/>
      <c r="E22" s="844"/>
      <c r="F22" s="844"/>
      <c r="G22" s="844"/>
      <c r="H22" s="844"/>
      <c r="I22" s="844"/>
      <c r="J22" s="103">
        <v>0</v>
      </c>
      <c r="K22" s="119">
        <f t="shared" ref="K22:K27" si="0">ROUND(J22*$K$11,2)</f>
        <v>0</v>
      </c>
    </row>
    <row r="23" spans="1:15">
      <c r="A23" s="385" t="s">
        <v>12</v>
      </c>
      <c r="B23" s="844" t="s">
        <v>20</v>
      </c>
      <c r="C23" s="844"/>
      <c r="D23" s="844"/>
      <c r="E23" s="844"/>
      <c r="F23" s="844"/>
      <c r="G23" s="844"/>
      <c r="H23" s="844"/>
      <c r="I23" s="844"/>
      <c r="J23" s="103">
        <v>0</v>
      </c>
      <c r="K23" s="119">
        <f t="shared" si="0"/>
        <v>0</v>
      </c>
    </row>
    <row r="24" spans="1:15">
      <c r="A24" s="385" t="s">
        <v>14</v>
      </c>
      <c r="B24" s="844" t="s">
        <v>21</v>
      </c>
      <c r="C24" s="844"/>
      <c r="D24" s="844"/>
      <c r="E24" s="844"/>
      <c r="F24" s="844"/>
      <c r="G24" s="844"/>
      <c r="H24" s="844"/>
      <c r="I24" s="844"/>
      <c r="J24" s="103">
        <v>0</v>
      </c>
      <c r="K24" s="119">
        <f t="shared" si="0"/>
        <v>0</v>
      </c>
      <c r="L24" s="120"/>
    </row>
    <row r="25" spans="1:15">
      <c r="A25" s="385" t="s">
        <v>1</v>
      </c>
      <c r="B25" s="857" t="s">
        <v>153</v>
      </c>
      <c r="C25" s="859"/>
      <c r="D25" s="884">
        <v>0.08</v>
      </c>
      <c r="E25" s="885"/>
      <c r="F25" s="857"/>
      <c r="G25" s="858"/>
      <c r="H25" s="858"/>
      <c r="I25" s="859"/>
      <c r="J25" s="103">
        <v>0.08</v>
      </c>
      <c r="K25" s="119">
        <f t="shared" si="0"/>
        <v>4.0599999999999996</v>
      </c>
      <c r="L25" s="121"/>
    </row>
    <row r="26" spans="1:15">
      <c r="A26" s="385" t="s">
        <v>15</v>
      </c>
      <c r="B26" s="844" t="s">
        <v>22</v>
      </c>
      <c r="C26" s="844"/>
      <c r="D26" s="844"/>
      <c r="E26" s="844"/>
      <c r="F26" s="378" t="s">
        <v>23</v>
      </c>
      <c r="G26" s="122">
        <v>0.03</v>
      </c>
      <c r="H26" s="378" t="s">
        <v>24</v>
      </c>
      <c r="I26" s="303">
        <v>0.5</v>
      </c>
      <c r="J26" s="104">
        <f>G26*I26</f>
        <v>1.4999999999999999E-2</v>
      </c>
      <c r="K26" s="119">
        <f t="shared" si="0"/>
        <v>0.76</v>
      </c>
    </row>
    <row r="27" spans="1:15">
      <c r="A27" s="385"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14.97</v>
      </c>
      <c r="L28" s="305"/>
      <c r="M28" s="305"/>
      <c r="N28" s="305"/>
      <c r="O28" s="305"/>
    </row>
    <row r="29" spans="1:15">
      <c r="A29" s="886" t="s">
        <v>170</v>
      </c>
      <c r="B29" s="887"/>
      <c r="C29" s="887"/>
      <c r="D29" s="887"/>
      <c r="E29" s="887"/>
      <c r="F29" s="887"/>
      <c r="G29" s="887"/>
      <c r="H29" s="887"/>
      <c r="I29" s="404" t="s">
        <v>463</v>
      </c>
      <c r="J29" s="401"/>
      <c r="K29" s="112" t="s">
        <v>166</v>
      </c>
    </row>
    <row r="30" spans="1:15">
      <c r="A30" s="385" t="s">
        <v>4</v>
      </c>
      <c r="B30" s="150" t="s">
        <v>436</v>
      </c>
      <c r="C30" s="151"/>
      <c r="D30" s="151"/>
      <c r="E30" s="151"/>
      <c r="F30" s="151"/>
      <c r="G30" s="151"/>
      <c r="H30" s="151"/>
      <c r="I30" s="405">
        <v>1</v>
      </c>
      <c r="J30" s="402">
        <v>13.8</v>
      </c>
      <c r="K30" s="123">
        <f>(J30*I30)*80%</f>
        <v>11.040000000000001</v>
      </c>
    </row>
    <row r="31" spans="1:15">
      <c r="A31" s="385" t="s">
        <v>434</v>
      </c>
      <c r="B31" s="150" t="s">
        <v>435</v>
      </c>
      <c r="C31" s="151"/>
      <c r="D31" s="151"/>
      <c r="E31" s="151"/>
      <c r="F31" s="151"/>
      <c r="G31" s="151"/>
      <c r="H31" s="151"/>
      <c r="I31" s="405">
        <v>0</v>
      </c>
      <c r="J31" s="402">
        <v>0</v>
      </c>
      <c r="K31" s="123">
        <f>(J31*I31)*80%</f>
        <v>0</v>
      </c>
    </row>
    <row r="32" spans="1:15" ht="15.75" thickBot="1">
      <c r="A32" s="385" t="s">
        <v>6</v>
      </c>
      <c r="B32" s="876" t="s">
        <v>218</v>
      </c>
      <c r="C32" s="877"/>
      <c r="D32" s="877"/>
      <c r="E32" s="877"/>
      <c r="F32" s="877"/>
      <c r="G32" s="877"/>
      <c r="H32" s="152"/>
      <c r="I32" s="406">
        <v>2</v>
      </c>
      <c r="J32" s="403">
        <v>4.0999999999999996</v>
      </c>
      <c r="K32" s="123">
        <f>I32*2*J32</f>
        <v>16.399999999999999</v>
      </c>
    </row>
    <row r="33" spans="1:11">
      <c r="A33" s="385" t="s">
        <v>10</v>
      </c>
      <c r="B33" s="876" t="s">
        <v>219</v>
      </c>
      <c r="C33" s="877"/>
      <c r="D33" s="877"/>
      <c r="E33" s="877"/>
      <c r="F33" s="877"/>
      <c r="G33" s="877"/>
      <c r="H33" s="877"/>
      <c r="I33" s="883"/>
      <c r="J33" s="153">
        <v>-0.06</v>
      </c>
      <c r="K33" s="154">
        <f>K8*J33</f>
        <v>-3.0456218181818184</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385" t="s">
        <v>15</v>
      </c>
      <c r="B37" s="876" t="s">
        <v>439</v>
      </c>
      <c r="C37" s="877"/>
      <c r="D37" s="877"/>
      <c r="E37" s="877"/>
      <c r="F37" s="877"/>
      <c r="G37" s="877"/>
      <c r="H37" s="877"/>
      <c r="I37" s="878"/>
      <c r="J37" s="378"/>
      <c r="K37" s="112">
        <v>0</v>
      </c>
    </row>
    <row r="38" spans="1:11" s="109" customFormat="1" ht="12.75">
      <c r="A38" s="385"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127.89437818181818</v>
      </c>
    </row>
    <row r="40" spans="1:11" s="109" customFormat="1" ht="12.75">
      <c r="A40" s="850" t="s">
        <v>173</v>
      </c>
      <c r="B40" s="850"/>
      <c r="C40" s="850"/>
      <c r="D40" s="850"/>
      <c r="E40" s="850"/>
      <c r="F40" s="850"/>
      <c r="G40" s="850"/>
      <c r="H40" s="850"/>
      <c r="I40" s="850"/>
      <c r="J40" s="850"/>
      <c r="K40" s="128" t="s">
        <v>166</v>
      </c>
    </row>
    <row r="41" spans="1:11" s="109" customFormat="1" ht="12.75">
      <c r="A41" s="385" t="s">
        <v>174</v>
      </c>
      <c r="B41" s="857" t="s">
        <v>177</v>
      </c>
      <c r="C41" s="858"/>
      <c r="D41" s="858"/>
      <c r="E41" s="858"/>
      <c r="F41" s="858"/>
      <c r="G41" s="858"/>
      <c r="H41" s="858"/>
      <c r="I41" s="859"/>
      <c r="J41" s="383"/>
      <c r="K41" s="112">
        <f>K18</f>
        <v>7.3000000000000007</v>
      </c>
    </row>
    <row r="42" spans="1:11" s="109" customFormat="1" ht="12.75">
      <c r="A42" s="385" t="s">
        <v>175</v>
      </c>
      <c r="B42" s="857" t="s">
        <v>178</v>
      </c>
      <c r="C42" s="858"/>
      <c r="D42" s="858"/>
      <c r="E42" s="858"/>
      <c r="F42" s="858"/>
      <c r="G42" s="858"/>
      <c r="H42" s="858"/>
      <c r="I42" s="859"/>
      <c r="J42" s="383"/>
      <c r="K42" s="112">
        <f>K28</f>
        <v>14.97</v>
      </c>
    </row>
    <row r="43" spans="1:11" s="109" customFormat="1" ht="12.75">
      <c r="A43" s="385" t="s">
        <v>176</v>
      </c>
      <c r="B43" s="857" t="s">
        <v>180</v>
      </c>
      <c r="C43" s="858"/>
      <c r="D43" s="858"/>
      <c r="E43" s="858"/>
      <c r="F43" s="858"/>
      <c r="G43" s="858"/>
      <c r="H43" s="858"/>
      <c r="I43" s="859"/>
      <c r="J43" s="383"/>
      <c r="K43" s="112">
        <f>K39</f>
        <v>127.89437818181818</v>
      </c>
    </row>
    <row r="44" spans="1:11" s="109" customFormat="1" ht="12.75">
      <c r="A44" s="847" t="s">
        <v>179</v>
      </c>
      <c r="B44" s="848"/>
      <c r="C44" s="848"/>
      <c r="D44" s="848"/>
      <c r="E44" s="848"/>
      <c r="F44" s="848"/>
      <c r="G44" s="848"/>
      <c r="H44" s="848"/>
      <c r="I44" s="863"/>
      <c r="J44" s="125"/>
      <c r="K44" s="126">
        <f>SUM(K41:K43)</f>
        <v>150.16437818181819</v>
      </c>
    </row>
    <row r="45" spans="1:11" s="109" customFormat="1" ht="12.75">
      <c r="A45" s="850" t="s">
        <v>171</v>
      </c>
      <c r="B45" s="850"/>
      <c r="C45" s="850"/>
      <c r="D45" s="850"/>
      <c r="E45" s="850"/>
      <c r="F45" s="850"/>
      <c r="G45" s="850"/>
      <c r="H45" s="850"/>
      <c r="I45" s="850"/>
      <c r="J45" s="127" t="s">
        <v>9</v>
      </c>
      <c r="K45" s="128" t="s">
        <v>166</v>
      </c>
    </row>
    <row r="46" spans="1:11" s="109" customFormat="1" ht="12.75">
      <c r="A46" s="385" t="s">
        <v>4</v>
      </c>
      <c r="B46" s="844" t="s">
        <v>26</v>
      </c>
      <c r="C46" s="844"/>
      <c r="D46" s="844"/>
      <c r="E46" s="844"/>
      <c r="F46" s="844"/>
      <c r="G46" s="844"/>
      <c r="H46" s="129">
        <v>30</v>
      </c>
      <c r="I46" s="130">
        <v>0.05</v>
      </c>
      <c r="J46" s="118">
        <f>H46/30/12*I46</f>
        <v>4.1666666666666666E-3</v>
      </c>
      <c r="K46" s="112">
        <f>ROUND(J46*$K$11,2)</f>
        <v>0.21</v>
      </c>
    </row>
    <row r="47" spans="1:11" s="109" customFormat="1" ht="12.75">
      <c r="A47" s="385" t="s">
        <v>6</v>
      </c>
      <c r="B47" s="844" t="s">
        <v>27</v>
      </c>
      <c r="C47" s="844"/>
      <c r="D47" s="844"/>
      <c r="E47" s="844"/>
      <c r="F47" s="844"/>
      <c r="G47" s="844"/>
      <c r="H47" s="844"/>
      <c r="I47" s="844"/>
      <c r="J47" s="118">
        <f>J25*J46</f>
        <v>3.3333333333333332E-4</v>
      </c>
      <c r="K47" s="112">
        <f>ROUND(J47*$K$11,2)</f>
        <v>0.02</v>
      </c>
    </row>
    <row r="48" spans="1:11" s="109" customFormat="1" ht="12.75">
      <c r="A48" s="385" t="s">
        <v>10</v>
      </c>
      <c r="B48" s="844" t="s">
        <v>184</v>
      </c>
      <c r="C48" s="844"/>
      <c r="D48" s="844"/>
      <c r="E48" s="844"/>
      <c r="F48" s="844"/>
      <c r="G48" s="844"/>
      <c r="H48" s="844"/>
      <c r="I48" s="844"/>
      <c r="J48" s="118">
        <f>(1/30)/12*7</f>
        <v>1.9444444444444445E-2</v>
      </c>
      <c r="K48" s="112">
        <f>ROUND(J48*$K$11,2)</f>
        <v>0.99</v>
      </c>
    </row>
    <row r="49" spans="1:15" s="109" customFormat="1" ht="12.75">
      <c r="A49" s="385" t="s">
        <v>12</v>
      </c>
      <c r="B49" s="844" t="s">
        <v>183</v>
      </c>
      <c r="C49" s="844"/>
      <c r="D49" s="844"/>
      <c r="E49" s="844"/>
      <c r="F49" s="844"/>
      <c r="G49" s="844"/>
      <c r="H49" s="844"/>
      <c r="I49" s="844"/>
      <c r="J49" s="118">
        <f>J28*J48</f>
        <v>5.736111111111112E-3</v>
      </c>
      <c r="K49" s="112">
        <f>ROUND(J49*$K$11,2)</f>
        <v>0.28999999999999998</v>
      </c>
    </row>
    <row r="50" spans="1:15" s="109" customFormat="1" ht="12.75">
      <c r="A50" s="324" t="s">
        <v>14</v>
      </c>
      <c r="B50" s="381" t="s">
        <v>399</v>
      </c>
      <c r="C50" s="381"/>
      <c r="D50" s="381"/>
      <c r="E50" s="381"/>
      <c r="F50" s="381"/>
      <c r="G50" s="381"/>
      <c r="H50" s="381"/>
      <c r="I50" s="382"/>
      <c r="J50" s="118">
        <f>0.5*J25</f>
        <v>0.04</v>
      </c>
      <c r="K50" s="112">
        <f>ROUND(J50*$K$11,2)</f>
        <v>2.0299999999999998</v>
      </c>
    </row>
    <row r="51" spans="1:15" s="109" customFormat="1" ht="12.75">
      <c r="A51" s="847" t="s">
        <v>181</v>
      </c>
      <c r="B51" s="848"/>
      <c r="C51" s="848"/>
      <c r="D51" s="848"/>
      <c r="E51" s="848"/>
      <c r="F51" s="848"/>
      <c r="G51" s="848"/>
      <c r="H51" s="848"/>
      <c r="I51" s="863"/>
      <c r="J51" s="125">
        <f>SUM(J46:J50)</f>
        <v>6.9680555555555551E-2</v>
      </c>
      <c r="K51" s="126">
        <f>SUM(K46:K50)</f>
        <v>3.54</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385" t="s">
        <v>4</v>
      </c>
      <c r="B54" s="829" t="s">
        <v>187</v>
      </c>
      <c r="C54" s="829"/>
      <c r="D54" s="829"/>
      <c r="E54" s="829"/>
      <c r="F54" s="829"/>
      <c r="G54" s="829"/>
      <c r="H54" s="829"/>
      <c r="I54" s="829"/>
      <c r="J54" s="104">
        <f>1/12</f>
        <v>8.3333333333333329E-2</v>
      </c>
      <c r="K54" s="112">
        <f>ROUND(J54*$K$11,2)</f>
        <v>4.2300000000000004</v>
      </c>
    </row>
    <row r="55" spans="1:15">
      <c r="A55" s="385" t="s">
        <v>6</v>
      </c>
      <c r="B55" s="844" t="s">
        <v>188</v>
      </c>
      <c r="C55" s="844"/>
      <c r="D55" s="844"/>
      <c r="E55" s="844"/>
      <c r="F55" s="874" t="s">
        <v>29</v>
      </c>
      <c r="G55" s="874"/>
      <c r="H55" s="874"/>
      <c r="I55" s="131">
        <v>6</v>
      </c>
      <c r="J55" s="104">
        <f>I55/30/12</f>
        <v>1.6666666666666666E-2</v>
      </c>
      <c r="K55" s="112">
        <f>ROUND(J55*$K$11,2)</f>
        <v>0.85</v>
      </c>
    </row>
    <row r="56" spans="1:15">
      <c r="A56" s="385" t="s">
        <v>10</v>
      </c>
      <c r="B56" s="844" t="s">
        <v>30</v>
      </c>
      <c r="C56" s="844"/>
      <c r="D56" s="844"/>
      <c r="E56" s="844"/>
      <c r="F56" s="874" t="s">
        <v>28</v>
      </c>
      <c r="G56" s="874"/>
      <c r="H56" s="132">
        <v>1.4999999999999999E-2</v>
      </c>
      <c r="I56" s="133">
        <v>5</v>
      </c>
      <c r="J56" s="104">
        <f>I56/30/12*H56</f>
        <v>2.0833333333333332E-4</v>
      </c>
      <c r="K56" s="112">
        <f>ROUND(J56*$K$11,2)</f>
        <v>0.01</v>
      </c>
    </row>
    <row r="57" spans="1:15">
      <c r="A57" s="385" t="s">
        <v>12</v>
      </c>
      <c r="B57" s="844" t="s">
        <v>189</v>
      </c>
      <c r="C57" s="844"/>
      <c r="D57" s="844"/>
      <c r="E57" s="131"/>
      <c r="F57" s="874" t="s">
        <v>28</v>
      </c>
      <c r="G57" s="874"/>
      <c r="H57" s="132">
        <v>8.0000000000000002E-3</v>
      </c>
      <c r="I57" s="134">
        <v>20</v>
      </c>
      <c r="J57" s="104">
        <f>I57/30/12*H57</f>
        <v>4.4444444444444441E-4</v>
      </c>
      <c r="K57" s="112">
        <f>ROUND(J57*$K$11,2)</f>
        <v>0.02</v>
      </c>
    </row>
    <row r="58" spans="1:15">
      <c r="A58" s="385" t="s">
        <v>14</v>
      </c>
      <c r="B58" s="844" t="s">
        <v>190</v>
      </c>
      <c r="C58" s="844"/>
      <c r="D58" s="844"/>
      <c r="E58" s="131"/>
      <c r="F58" s="875"/>
      <c r="G58" s="874"/>
      <c r="H58" s="132">
        <v>0.1</v>
      </c>
      <c r="I58" s="134">
        <v>10</v>
      </c>
      <c r="J58" s="104">
        <f>I58/30/12*H58</f>
        <v>2.7777777777777779E-3</v>
      </c>
      <c r="K58" s="112">
        <f>ROUND(J58*$K$11,2)</f>
        <v>0.14000000000000001</v>
      </c>
      <c r="L58" s="111"/>
    </row>
    <row r="59" spans="1:15">
      <c r="A59" s="385"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5.2499999999999991</v>
      </c>
    </row>
    <row r="61" spans="1:15">
      <c r="A61" s="385" t="s">
        <v>12</v>
      </c>
      <c r="B61" s="328" t="s">
        <v>215</v>
      </c>
      <c r="C61" s="328"/>
      <c r="D61" s="328"/>
      <c r="E61" s="328"/>
      <c r="F61" s="328"/>
      <c r="G61" s="328"/>
      <c r="H61" s="328"/>
      <c r="I61" s="329"/>
      <c r="J61" s="332">
        <f>J60*J28</f>
        <v>3.0512013888888894E-2</v>
      </c>
      <c r="K61" s="327">
        <f>ROUND(J61*$K$11,2)</f>
        <v>1.55</v>
      </c>
    </row>
    <row r="62" spans="1:15">
      <c r="A62" s="847" t="s">
        <v>192</v>
      </c>
      <c r="B62" s="848"/>
      <c r="C62" s="848"/>
      <c r="D62" s="848"/>
      <c r="E62" s="848"/>
      <c r="F62" s="848"/>
      <c r="G62" s="848"/>
      <c r="H62" s="848"/>
      <c r="I62" s="863"/>
      <c r="J62" s="148">
        <f>SUM(J60:J61)</f>
        <v>0.13394256944444444</v>
      </c>
      <c r="K62" s="126">
        <f>SUM(K60:K61)</f>
        <v>6.7999999999999989</v>
      </c>
      <c r="L62" s="149"/>
      <c r="M62" s="149"/>
      <c r="N62" s="149"/>
      <c r="O62" s="149"/>
    </row>
    <row r="63" spans="1:15">
      <c r="A63" s="872" t="s">
        <v>193</v>
      </c>
      <c r="B63" s="873"/>
      <c r="C63" s="873"/>
      <c r="D63" s="873"/>
      <c r="E63" s="873"/>
      <c r="F63" s="873"/>
      <c r="G63" s="873"/>
      <c r="H63" s="873"/>
      <c r="I63" s="873"/>
      <c r="J63" s="117" t="s">
        <v>9</v>
      </c>
      <c r="K63" s="112" t="s">
        <v>166</v>
      </c>
    </row>
    <row r="64" spans="1:15">
      <c r="A64" s="385"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385" t="s">
        <v>197</v>
      </c>
      <c r="B67" s="857" t="s">
        <v>188</v>
      </c>
      <c r="C67" s="858"/>
      <c r="D67" s="858"/>
      <c r="E67" s="858"/>
      <c r="F67" s="858"/>
      <c r="G67" s="858"/>
      <c r="H67" s="858"/>
      <c r="I67" s="859"/>
      <c r="J67" s="383"/>
      <c r="K67" s="112">
        <f>K62</f>
        <v>6.7999999999999989</v>
      </c>
    </row>
    <row r="68" spans="1:13">
      <c r="A68" s="385" t="s">
        <v>198</v>
      </c>
      <c r="B68" s="857" t="s">
        <v>199</v>
      </c>
      <c r="C68" s="858"/>
      <c r="D68" s="858"/>
      <c r="E68" s="858"/>
      <c r="F68" s="858"/>
      <c r="G68" s="858"/>
      <c r="H68" s="858"/>
      <c r="I68" s="859"/>
      <c r="J68" s="383"/>
      <c r="K68" s="112">
        <f>K65</f>
        <v>0</v>
      </c>
    </row>
    <row r="69" spans="1:13">
      <c r="A69" s="847" t="s">
        <v>200</v>
      </c>
      <c r="B69" s="848"/>
      <c r="C69" s="848"/>
      <c r="D69" s="848"/>
      <c r="E69" s="848"/>
      <c r="F69" s="848"/>
      <c r="G69" s="848"/>
      <c r="H69" s="848"/>
      <c r="I69" s="863"/>
      <c r="J69" s="125"/>
      <c r="K69" s="126">
        <f>SUM(K67:K68)</f>
        <v>6.7999999999999989</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JARDINEIROS'!F18</f>
        <v>63.166666666666664</v>
      </c>
    </row>
    <row r="73" spans="1:13" s="109" customFormat="1" ht="12.75">
      <c r="A73" s="409" t="s">
        <v>6</v>
      </c>
      <c r="B73" s="866" t="s">
        <v>212</v>
      </c>
      <c r="C73" s="867"/>
      <c r="D73" s="867"/>
      <c r="E73" s="867"/>
      <c r="F73" s="867"/>
      <c r="G73" s="867"/>
      <c r="H73" s="867"/>
      <c r="I73" s="845">
        <v>0</v>
      </c>
      <c r="J73" s="846"/>
      <c r="K73" s="124">
        <f>(K$11+K$44+K$51+K$62)*I73</f>
        <v>0</v>
      </c>
      <c r="L73" s="137"/>
      <c r="M73" s="111"/>
    </row>
    <row r="74" spans="1:13" s="109" customFormat="1" ht="12.75">
      <c r="A74" s="409" t="s">
        <v>10</v>
      </c>
      <c r="B74" s="866" t="s">
        <v>394</v>
      </c>
      <c r="C74" s="867"/>
      <c r="D74" s="867"/>
      <c r="E74" s="867"/>
      <c r="F74" s="867"/>
      <c r="G74" s="867"/>
      <c r="H74" s="867"/>
      <c r="I74" s="845">
        <v>0</v>
      </c>
      <c r="J74" s="846"/>
      <c r="K74" s="124">
        <f>(K$11+K$44+K$51+K$62)*I74</f>
        <v>0</v>
      </c>
      <c r="L74" s="137"/>
      <c r="M74" s="111"/>
    </row>
    <row r="75" spans="1:13" s="109" customFormat="1" ht="12.75">
      <c r="A75" s="847" t="s">
        <v>207</v>
      </c>
      <c r="B75" s="848"/>
      <c r="C75" s="848"/>
      <c r="D75" s="848"/>
      <c r="E75" s="848"/>
      <c r="F75" s="848"/>
      <c r="G75" s="848"/>
      <c r="H75" s="848"/>
      <c r="I75" s="863"/>
      <c r="J75" s="125"/>
      <c r="K75" s="126">
        <f>SUM(K72:K74)</f>
        <v>63.166666666666664</v>
      </c>
    </row>
    <row r="76" spans="1:13" s="109" customFormat="1" ht="12.75">
      <c r="A76" s="850" t="s">
        <v>205</v>
      </c>
      <c r="B76" s="850"/>
      <c r="C76" s="850"/>
      <c r="D76" s="850"/>
      <c r="E76" s="850"/>
      <c r="F76" s="850"/>
      <c r="G76" s="850"/>
      <c r="H76" s="850"/>
      <c r="I76" s="850"/>
      <c r="J76" s="127"/>
      <c r="K76" s="128">
        <f>K5</f>
        <v>0</v>
      </c>
    </row>
    <row r="77" spans="1:13" s="109" customFormat="1" ht="12.75">
      <c r="A77" s="385" t="s">
        <v>4</v>
      </c>
      <c r="B77" s="829" t="s">
        <v>206</v>
      </c>
      <c r="C77" s="829"/>
      <c r="D77" s="829"/>
      <c r="E77" s="829"/>
      <c r="F77" s="829"/>
      <c r="G77" s="829"/>
      <c r="H77" s="829"/>
      <c r="I77" s="829"/>
      <c r="J77" s="138">
        <v>0.95</v>
      </c>
      <c r="K77" s="119">
        <f>J77*K95</f>
        <v>260.7098380606061</v>
      </c>
      <c r="L77" s="139"/>
    </row>
    <row r="78" spans="1:13" s="109" customFormat="1" ht="12.75">
      <c r="A78" s="385" t="s">
        <v>6</v>
      </c>
      <c r="B78" s="829" t="s">
        <v>32</v>
      </c>
      <c r="C78" s="829"/>
      <c r="D78" s="829"/>
      <c r="E78" s="829"/>
      <c r="F78" s="829"/>
      <c r="G78" s="829"/>
      <c r="H78" s="829"/>
      <c r="I78" s="829"/>
      <c r="J78" s="138">
        <v>0.85</v>
      </c>
      <c r="K78" s="119">
        <f>J78*(K95+K77)</f>
        <v>454.8700595636364</v>
      </c>
      <c r="L78" s="139"/>
    </row>
    <row r="79" spans="1:13" s="109" customFormat="1" ht="12.75">
      <c r="A79" s="836" t="s">
        <v>10</v>
      </c>
      <c r="B79" s="852" t="s">
        <v>33</v>
      </c>
      <c r="C79" s="853"/>
      <c r="D79" s="853"/>
      <c r="E79" s="853"/>
      <c r="F79" s="853"/>
      <c r="G79" s="853"/>
      <c r="H79" s="854"/>
      <c r="I79" s="855">
        <f>K95+K77+K78</f>
        <v>990.01130610909104</v>
      </c>
      <c r="J79" s="856"/>
      <c r="K79" s="140"/>
    </row>
    <row r="80" spans="1:13" s="109" customFormat="1" ht="12.75">
      <c r="A80" s="836"/>
      <c r="B80" s="857" t="s">
        <v>34</v>
      </c>
      <c r="C80" s="858"/>
      <c r="D80" s="858"/>
      <c r="E80" s="859"/>
      <c r="F80" s="384"/>
      <c r="G80" s="384" t="s">
        <v>35</v>
      </c>
      <c r="H80" s="384" t="s">
        <v>653</v>
      </c>
      <c r="I80" s="860"/>
      <c r="J80" s="861"/>
      <c r="K80" s="140"/>
    </row>
    <row r="81" spans="1:11" s="109" customFormat="1" ht="12.75">
      <c r="A81" s="836"/>
      <c r="B81" s="844" t="s">
        <v>36</v>
      </c>
      <c r="C81" s="844"/>
      <c r="D81" s="844"/>
      <c r="E81" s="844"/>
      <c r="F81" s="384" t="s">
        <v>37</v>
      </c>
      <c r="G81" s="575">
        <v>1.72E-3</v>
      </c>
      <c r="H81" s="838">
        <f>SUM(G81:G86)</f>
        <v>2.9699999999999997E-2</v>
      </c>
      <c r="I81" s="839">
        <f t="shared" ref="I81:I86" si="1">ROUND($K$97*G81,2)</f>
        <v>1.75</v>
      </c>
      <c r="J81" s="840"/>
      <c r="K81" s="841">
        <f>SUM(I81:J86)</f>
        <v>30.3</v>
      </c>
    </row>
    <row r="82" spans="1:11" s="109" customFormat="1" ht="12.75">
      <c r="A82" s="836"/>
      <c r="B82" s="844"/>
      <c r="C82" s="844"/>
      <c r="D82" s="844"/>
      <c r="E82" s="844"/>
      <c r="F82" s="384" t="s">
        <v>38</v>
      </c>
      <c r="G82" s="575">
        <v>7.9500000000000005E-3</v>
      </c>
      <c r="H82" s="838"/>
      <c r="I82" s="839">
        <f t="shared" si="1"/>
        <v>8.11</v>
      </c>
      <c r="J82" s="840"/>
      <c r="K82" s="842"/>
    </row>
    <row r="83" spans="1:11" s="109" customFormat="1" ht="12.75">
      <c r="A83" s="836"/>
      <c r="B83" s="844"/>
      <c r="C83" s="844"/>
      <c r="D83" s="844"/>
      <c r="E83" s="844"/>
      <c r="F83" s="384"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20.440000000000001</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745.87989762424252</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385" t="s">
        <v>4</v>
      </c>
      <c r="B90" s="829" t="str">
        <f>A7</f>
        <v xml:space="preserve">MÓDULO 01 – Composição da Remuneração </v>
      </c>
      <c r="C90" s="829"/>
      <c r="D90" s="829"/>
      <c r="E90" s="829"/>
      <c r="F90" s="829"/>
      <c r="G90" s="829"/>
      <c r="H90" s="829"/>
      <c r="I90" s="829"/>
      <c r="J90" s="829"/>
      <c r="K90" s="142">
        <f>K11</f>
        <v>50.760363636363643</v>
      </c>
    </row>
    <row r="91" spans="1:11" s="109" customFormat="1" ht="12.75">
      <c r="A91" s="385" t="s">
        <v>6</v>
      </c>
      <c r="B91" s="829" t="str">
        <f>A12</f>
        <v>MÓDULO 2 – ENCARGOS E BENEFÍCIOS ANUAIS, MENSAIS E DIÁRIOS</v>
      </c>
      <c r="C91" s="829"/>
      <c r="D91" s="829"/>
      <c r="E91" s="829"/>
      <c r="F91" s="829"/>
      <c r="G91" s="829"/>
      <c r="H91" s="829"/>
      <c r="I91" s="829"/>
      <c r="J91" s="829"/>
      <c r="K91" s="142">
        <f>K44</f>
        <v>150.16437818181819</v>
      </c>
    </row>
    <row r="92" spans="1:11" s="109" customFormat="1" ht="12.75">
      <c r="A92" s="385" t="s">
        <v>10</v>
      </c>
      <c r="B92" s="829" t="str">
        <f>A45</f>
        <v>MÓDULO 3 – PROVISÃO PARA RESCISÃO</v>
      </c>
      <c r="C92" s="829"/>
      <c r="D92" s="829"/>
      <c r="E92" s="829"/>
      <c r="F92" s="829"/>
      <c r="G92" s="829"/>
      <c r="H92" s="829"/>
      <c r="I92" s="829"/>
      <c r="J92" s="829"/>
      <c r="K92" s="142">
        <f>K51</f>
        <v>3.54</v>
      </c>
    </row>
    <row r="93" spans="1:11" s="109" customFormat="1" ht="12.75">
      <c r="A93" s="385" t="s">
        <v>12</v>
      </c>
      <c r="B93" s="829" t="str">
        <f>A52</f>
        <v>MÓDULO 4 – CUSTO DE REPOSIÇÃO DO PROFISSIONAL AUSENTE</v>
      </c>
      <c r="C93" s="829"/>
      <c r="D93" s="829"/>
      <c r="E93" s="829"/>
      <c r="F93" s="829"/>
      <c r="G93" s="829"/>
      <c r="H93" s="829"/>
      <c r="I93" s="829"/>
      <c r="J93" s="829"/>
      <c r="K93" s="142">
        <f>K62</f>
        <v>6.7999999999999989</v>
      </c>
    </row>
    <row r="94" spans="1:11" s="109" customFormat="1" ht="12.75">
      <c r="A94" s="385" t="s">
        <v>14</v>
      </c>
      <c r="B94" s="829" t="str">
        <f>A71</f>
        <v>MÓDULO 5 – INSUMOS DIVERSOS</v>
      </c>
      <c r="C94" s="829"/>
      <c r="D94" s="829"/>
      <c r="E94" s="829"/>
      <c r="F94" s="829"/>
      <c r="G94" s="829"/>
      <c r="H94" s="829"/>
      <c r="I94" s="829"/>
      <c r="J94" s="829"/>
      <c r="K94" s="142">
        <f>K75</f>
        <v>63.166666666666664</v>
      </c>
    </row>
    <row r="95" spans="1:11" s="109" customFormat="1" ht="12.75">
      <c r="A95" s="830" t="s">
        <v>209</v>
      </c>
      <c r="B95" s="830"/>
      <c r="C95" s="830"/>
      <c r="D95" s="830"/>
      <c r="E95" s="830"/>
      <c r="F95" s="830"/>
      <c r="G95" s="830"/>
      <c r="H95" s="830"/>
      <c r="I95" s="830"/>
      <c r="J95" s="830"/>
      <c r="K95" s="107">
        <f>SUM(K90:K94)</f>
        <v>274.43140848484853</v>
      </c>
    </row>
    <row r="96" spans="1:11" s="109" customFormat="1" ht="12.75">
      <c r="A96" s="385" t="s">
        <v>14</v>
      </c>
      <c r="B96" s="829" t="s">
        <v>46</v>
      </c>
      <c r="C96" s="829"/>
      <c r="D96" s="829"/>
      <c r="E96" s="829"/>
      <c r="F96" s="829"/>
      <c r="G96" s="829"/>
      <c r="H96" s="829"/>
      <c r="I96" s="829"/>
      <c r="J96" s="829"/>
      <c r="K96" s="108">
        <f>K97-K95</f>
        <v>745.87859151515136</v>
      </c>
    </row>
    <row r="97" spans="1:15" s="109" customFormat="1" ht="12.75">
      <c r="A97" s="831" t="s">
        <v>47</v>
      </c>
      <c r="B97" s="831"/>
      <c r="C97" s="831"/>
      <c r="D97" s="831"/>
      <c r="E97" s="831"/>
      <c r="F97" s="831"/>
      <c r="G97" s="831"/>
      <c r="H97" s="831"/>
      <c r="I97" s="831"/>
      <c r="J97" s="831"/>
      <c r="K97" s="143">
        <f>ROUND(I79/(1-$H$81),2)</f>
        <v>1020.31</v>
      </c>
    </row>
    <row r="98" spans="1:15" s="109" customFormat="1" ht="12.75">
      <c r="A98" s="832" t="s">
        <v>214</v>
      </c>
      <c r="B98" s="821"/>
      <c r="C98" s="821"/>
      <c r="D98" s="821"/>
      <c r="E98" s="821"/>
      <c r="F98" s="821"/>
      <c r="G98" s="821"/>
      <c r="H98" s="821"/>
      <c r="I98" s="155"/>
      <c r="J98" s="386">
        <v>1</v>
      </c>
      <c r="K98" s="156">
        <f>K97</f>
        <v>1020.31</v>
      </c>
    </row>
    <row r="99" spans="1:15" s="109" customFormat="1" ht="13.5" thickBot="1">
      <c r="A99" s="905" t="s">
        <v>217</v>
      </c>
      <c r="B99" s="905"/>
      <c r="C99" s="905"/>
      <c r="D99" s="905"/>
      <c r="E99" s="816"/>
      <c r="F99" s="816"/>
      <c r="G99" s="816"/>
      <c r="H99" s="816"/>
      <c r="I99" s="905"/>
      <c r="J99" s="905"/>
      <c r="K99" s="157">
        <f>K98*12</f>
        <v>12243.72</v>
      </c>
    </row>
    <row r="100" spans="1:15" s="109" customFormat="1" ht="13.5" thickBot="1">
      <c r="A100" s="833" t="s">
        <v>529</v>
      </c>
      <c r="B100" s="834"/>
      <c r="C100" s="834"/>
      <c r="D100" s="834"/>
      <c r="E100" s="834"/>
      <c r="F100" s="834"/>
      <c r="G100" s="834"/>
      <c r="H100" s="834"/>
      <c r="I100" s="834"/>
      <c r="J100" s="835"/>
      <c r="K100" s="514">
        <f>(K99/12)</f>
        <v>1020.31</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0.95</v>
      </c>
      <c r="M103" s="304"/>
      <c r="N103" s="304"/>
      <c r="O103" s="304"/>
    </row>
    <row r="104" spans="1:15" ht="15" customHeight="1">
      <c r="G104" s="161"/>
      <c r="H104" s="823" t="s">
        <v>32</v>
      </c>
      <c r="I104" s="824"/>
      <c r="J104" s="825"/>
      <c r="K104" s="163">
        <f>J78</f>
        <v>0.85</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2.7179222920746158</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A6:G6"/>
    <mergeCell ref="B14:I14"/>
    <mergeCell ref="B15:I15"/>
    <mergeCell ref="A18:I18"/>
    <mergeCell ref="A19:I19"/>
    <mergeCell ref="I5:K6"/>
    <mergeCell ref="B20:I20"/>
    <mergeCell ref="B21:I21"/>
    <mergeCell ref="A7:J7"/>
    <mergeCell ref="B8:J8"/>
    <mergeCell ref="B10:J10"/>
    <mergeCell ref="A11:J11"/>
    <mergeCell ref="A12:J12"/>
    <mergeCell ref="A13:I13"/>
    <mergeCell ref="B26:E26"/>
    <mergeCell ref="B27:I27"/>
    <mergeCell ref="A28:I28"/>
    <mergeCell ref="B32:G32"/>
    <mergeCell ref="B33:I33"/>
    <mergeCell ref="B22:I22"/>
    <mergeCell ref="B23:I23"/>
    <mergeCell ref="B24:I24"/>
    <mergeCell ref="B25:C25"/>
    <mergeCell ref="D25:E25"/>
    <mergeCell ref="F25:I25"/>
    <mergeCell ref="A29:H29"/>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66:J66"/>
    <mergeCell ref="B67:I67"/>
    <mergeCell ref="B68:I68"/>
    <mergeCell ref="A69:I69"/>
    <mergeCell ref="A70:K70"/>
    <mergeCell ref="A71:I71"/>
    <mergeCell ref="B73:H73"/>
    <mergeCell ref="I73:J73"/>
    <mergeCell ref="B74:H74"/>
    <mergeCell ref="I74:J74"/>
    <mergeCell ref="A75:I75"/>
    <mergeCell ref="A76:I76"/>
    <mergeCell ref="B77:I77"/>
    <mergeCell ref="B78:I78"/>
    <mergeCell ref="A79:A86"/>
    <mergeCell ref="B79:H79"/>
    <mergeCell ref="I79:J79"/>
    <mergeCell ref="B80:E80"/>
    <mergeCell ref="I80:J80"/>
    <mergeCell ref="B81:E83"/>
    <mergeCell ref="A99:J99"/>
    <mergeCell ref="H101:K101"/>
    <mergeCell ref="H102:J102"/>
    <mergeCell ref="H104:J104"/>
    <mergeCell ref="H106:J106"/>
    <mergeCell ref="B93:J93"/>
    <mergeCell ref="B94:J94"/>
    <mergeCell ref="A95:J95"/>
    <mergeCell ref="B96:J96"/>
    <mergeCell ref="A97:J97"/>
    <mergeCell ref="A98:H98"/>
    <mergeCell ref="A100:J100"/>
    <mergeCell ref="A87:J87"/>
    <mergeCell ref="A88:K88"/>
    <mergeCell ref="A89:J89"/>
    <mergeCell ref="B90:J90"/>
    <mergeCell ref="B91:J91"/>
    <mergeCell ref="B92:J92"/>
    <mergeCell ref="H81:H86"/>
    <mergeCell ref="I81:J81"/>
    <mergeCell ref="K81:K86"/>
    <mergeCell ref="I82:J82"/>
    <mergeCell ref="I83:J83"/>
    <mergeCell ref="B84:E85"/>
    <mergeCell ref="I84:J84"/>
    <mergeCell ref="I85:J85"/>
    <mergeCell ref="B86:E86"/>
    <mergeCell ref="I86:J86"/>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sheetPr>
  <dimension ref="A1:H27"/>
  <sheetViews>
    <sheetView view="pageBreakPreview" zoomScaleSheetLayoutView="100" workbookViewId="0">
      <selection activeCell="C16" sqref="C16"/>
    </sheetView>
  </sheetViews>
  <sheetFormatPr defaultColWidth="9" defaultRowHeight="12.75"/>
  <cols>
    <col min="1" max="1" width="51.7109375" style="341" customWidth="1"/>
    <col min="2" max="2" width="10.140625" style="363" customWidth="1"/>
    <col min="3" max="3" width="13.5703125" style="363" customWidth="1"/>
    <col min="4" max="4" width="12.42578125" style="363" customWidth="1"/>
    <col min="5" max="5" width="11.42578125" style="356" customWidth="1"/>
    <col min="6" max="6" width="10.85546875" style="356" customWidth="1"/>
    <col min="7" max="7" width="14.7109375" style="341" customWidth="1"/>
    <col min="8" max="256" width="9" style="341"/>
    <col min="257" max="257" width="51.7109375" style="341" customWidth="1"/>
    <col min="258" max="258" width="10.140625" style="341" customWidth="1"/>
    <col min="259" max="259" width="13.5703125" style="341" customWidth="1"/>
    <col min="260" max="260" width="12.42578125" style="341" customWidth="1"/>
    <col min="261" max="261" width="11.42578125" style="341" customWidth="1"/>
    <col min="262" max="262" width="10.85546875" style="341" customWidth="1"/>
    <col min="263" max="263" width="14.7109375" style="341" customWidth="1"/>
    <col min="264" max="512" width="9" style="341"/>
    <col min="513" max="513" width="51.7109375" style="341" customWidth="1"/>
    <col min="514" max="514" width="10.140625" style="341" customWidth="1"/>
    <col min="515" max="515" width="13.5703125" style="341" customWidth="1"/>
    <col min="516" max="516" width="12.42578125" style="341" customWidth="1"/>
    <col min="517" max="517" width="11.42578125" style="341" customWidth="1"/>
    <col min="518" max="518" width="10.85546875" style="341" customWidth="1"/>
    <col min="519" max="519" width="14.7109375" style="341" customWidth="1"/>
    <col min="520" max="768" width="9" style="341"/>
    <col min="769" max="769" width="51.7109375" style="341" customWidth="1"/>
    <col min="770" max="770" width="10.140625" style="341" customWidth="1"/>
    <col min="771" max="771" width="13.5703125" style="341" customWidth="1"/>
    <col min="772" max="772" width="12.42578125" style="341" customWidth="1"/>
    <col min="773" max="773" width="11.42578125" style="341" customWidth="1"/>
    <col min="774" max="774" width="10.85546875" style="341" customWidth="1"/>
    <col min="775" max="775" width="14.7109375" style="341" customWidth="1"/>
    <col min="776" max="1024" width="9" style="341"/>
    <col min="1025" max="1025" width="51.7109375" style="341" customWidth="1"/>
    <col min="1026" max="1026" width="10.140625" style="341" customWidth="1"/>
    <col min="1027" max="1027" width="13.5703125" style="341" customWidth="1"/>
    <col min="1028" max="1028" width="12.42578125" style="341" customWidth="1"/>
    <col min="1029" max="1029" width="11.42578125" style="341" customWidth="1"/>
    <col min="1030" max="1030" width="10.85546875" style="341" customWidth="1"/>
    <col min="1031" max="1031" width="14.7109375" style="341" customWidth="1"/>
    <col min="1032" max="1280" width="9" style="341"/>
    <col min="1281" max="1281" width="51.7109375" style="341" customWidth="1"/>
    <col min="1282" max="1282" width="10.140625" style="341" customWidth="1"/>
    <col min="1283" max="1283" width="13.5703125" style="341" customWidth="1"/>
    <col min="1284" max="1284" width="12.42578125" style="341" customWidth="1"/>
    <col min="1285" max="1285" width="11.42578125" style="341" customWidth="1"/>
    <col min="1286" max="1286" width="10.85546875" style="341" customWidth="1"/>
    <col min="1287" max="1287" width="14.7109375" style="341" customWidth="1"/>
    <col min="1288" max="1536" width="9" style="341"/>
    <col min="1537" max="1537" width="51.7109375" style="341" customWidth="1"/>
    <col min="1538" max="1538" width="10.140625" style="341" customWidth="1"/>
    <col min="1539" max="1539" width="13.5703125" style="341" customWidth="1"/>
    <col min="1540" max="1540" width="12.42578125" style="341" customWidth="1"/>
    <col min="1541" max="1541" width="11.42578125" style="341" customWidth="1"/>
    <col min="1542" max="1542" width="10.85546875" style="341" customWidth="1"/>
    <col min="1543" max="1543" width="14.7109375" style="341" customWidth="1"/>
    <col min="1544" max="1792" width="9" style="341"/>
    <col min="1793" max="1793" width="51.7109375" style="341" customWidth="1"/>
    <col min="1794" max="1794" width="10.140625" style="341" customWidth="1"/>
    <col min="1795" max="1795" width="13.5703125" style="341" customWidth="1"/>
    <col min="1796" max="1796" width="12.42578125" style="341" customWidth="1"/>
    <col min="1797" max="1797" width="11.42578125" style="341" customWidth="1"/>
    <col min="1798" max="1798" width="10.85546875" style="341" customWidth="1"/>
    <col min="1799" max="1799" width="14.7109375" style="341" customWidth="1"/>
    <col min="1800" max="2048" width="9" style="341"/>
    <col min="2049" max="2049" width="51.7109375" style="341" customWidth="1"/>
    <col min="2050" max="2050" width="10.140625" style="341" customWidth="1"/>
    <col min="2051" max="2051" width="13.5703125" style="341" customWidth="1"/>
    <col min="2052" max="2052" width="12.42578125" style="341" customWidth="1"/>
    <col min="2053" max="2053" width="11.42578125" style="341" customWidth="1"/>
    <col min="2054" max="2054" width="10.85546875" style="341" customWidth="1"/>
    <col min="2055" max="2055" width="14.7109375" style="341" customWidth="1"/>
    <col min="2056" max="2304" width="9" style="341"/>
    <col min="2305" max="2305" width="51.7109375" style="341" customWidth="1"/>
    <col min="2306" max="2306" width="10.140625" style="341" customWidth="1"/>
    <col min="2307" max="2307" width="13.5703125" style="341" customWidth="1"/>
    <col min="2308" max="2308" width="12.42578125" style="341" customWidth="1"/>
    <col min="2309" max="2309" width="11.42578125" style="341" customWidth="1"/>
    <col min="2310" max="2310" width="10.85546875" style="341" customWidth="1"/>
    <col min="2311" max="2311" width="14.7109375" style="341" customWidth="1"/>
    <col min="2312" max="2560" width="9" style="341"/>
    <col min="2561" max="2561" width="51.7109375" style="341" customWidth="1"/>
    <col min="2562" max="2562" width="10.140625" style="341" customWidth="1"/>
    <col min="2563" max="2563" width="13.5703125" style="341" customWidth="1"/>
    <col min="2564" max="2564" width="12.42578125" style="341" customWidth="1"/>
    <col min="2565" max="2565" width="11.42578125" style="341" customWidth="1"/>
    <col min="2566" max="2566" width="10.85546875" style="341" customWidth="1"/>
    <col min="2567" max="2567" width="14.7109375" style="341" customWidth="1"/>
    <col min="2568" max="2816" width="9" style="341"/>
    <col min="2817" max="2817" width="51.7109375" style="341" customWidth="1"/>
    <col min="2818" max="2818" width="10.140625" style="341" customWidth="1"/>
    <col min="2819" max="2819" width="13.5703125" style="341" customWidth="1"/>
    <col min="2820" max="2820" width="12.42578125" style="341" customWidth="1"/>
    <col min="2821" max="2821" width="11.42578125" style="341" customWidth="1"/>
    <col min="2822" max="2822" width="10.85546875" style="341" customWidth="1"/>
    <col min="2823" max="2823" width="14.7109375" style="341" customWidth="1"/>
    <col min="2824" max="3072" width="9" style="341"/>
    <col min="3073" max="3073" width="51.7109375" style="341" customWidth="1"/>
    <col min="3074" max="3074" width="10.140625" style="341" customWidth="1"/>
    <col min="3075" max="3075" width="13.5703125" style="341" customWidth="1"/>
    <col min="3076" max="3076" width="12.42578125" style="341" customWidth="1"/>
    <col min="3077" max="3077" width="11.42578125" style="341" customWidth="1"/>
    <col min="3078" max="3078" width="10.85546875" style="341" customWidth="1"/>
    <col min="3079" max="3079" width="14.7109375" style="341" customWidth="1"/>
    <col min="3080" max="3328" width="9" style="341"/>
    <col min="3329" max="3329" width="51.7109375" style="341" customWidth="1"/>
    <col min="3330" max="3330" width="10.140625" style="341" customWidth="1"/>
    <col min="3331" max="3331" width="13.5703125" style="341" customWidth="1"/>
    <col min="3332" max="3332" width="12.42578125" style="341" customWidth="1"/>
    <col min="3333" max="3333" width="11.42578125" style="341" customWidth="1"/>
    <col min="3334" max="3334" width="10.85546875" style="341" customWidth="1"/>
    <col min="3335" max="3335" width="14.7109375" style="341" customWidth="1"/>
    <col min="3336" max="3584" width="9" style="341"/>
    <col min="3585" max="3585" width="51.7109375" style="341" customWidth="1"/>
    <col min="3586" max="3586" width="10.140625" style="341" customWidth="1"/>
    <col min="3587" max="3587" width="13.5703125" style="341" customWidth="1"/>
    <col min="3588" max="3588" width="12.42578125" style="341" customWidth="1"/>
    <col min="3589" max="3589" width="11.42578125" style="341" customWidth="1"/>
    <col min="3590" max="3590" width="10.85546875" style="341" customWidth="1"/>
    <col min="3591" max="3591" width="14.7109375" style="341" customWidth="1"/>
    <col min="3592" max="3840" width="9" style="341"/>
    <col min="3841" max="3841" width="51.7109375" style="341" customWidth="1"/>
    <col min="3842" max="3842" width="10.140625" style="341" customWidth="1"/>
    <col min="3843" max="3843" width="13.5703125" style="341" customWidth="1"/>
    <col min="3844" max="3844" width="12.42578125" style="341" customWidth="1"/>
    <col min="3845" max="3845" width="11.42578125" style="341" customWidth="1"/>
    <col min="3846" max="3846" width="10.85546875" style="341" customWidth="1"/>
    <col min="3847" max="3847" width="14.7109375" style="341" customWidth="1"/>
    <col min="3848" max="4096" width="9" style="341"/>
    <col min="4097" max="4097" width="51.7109375" style="341" customWidth="1"/>
    <col min="4098" max="4098" width="10.140625" style="341" customWidth="1"/>
    <col min="4099" max="4099" width="13.5703125" style="341" customWidth="1"/>
    <col min="4100" max="4100" width="12.42578125" style="341" customWidth="1"/>
    <col min="4101" max="4101" width="11.42578125" style="341" customWidth="1"/>
    <col min="4102" max="4102" width="10.85546875" style="341" customWidth="1"/>
    <col min="4103" max="4103" width="14.7109375" style="341" customWidth="1"/>
    <col min="4104" max="4352" width="9" style="341"/>
    <col min="4353" max="4353" width="51.7109375" style="341" customWidth="1"/>
    <col min="4354" max="4354" width="10.140625" style="341" customWidth="1"/>
    <col min="4355" max="4355" width="13.5703125" style="341" customWidth="1"/>
    <col min="4356" max="4356" width="12.42578125" style="341" customWidth="1"/>
    <col min="4357" max="4357" width="11.42578125" style="341" customWidth="1"/>
    <col min="4358" max="4358" width="10.85546875" style="341" customWidth="1"/>
    <col min="4359" max="4359" width="14.7109375" style="341" customWidth="1"/>
    <col min="4360" max="4608" width="9" style="341"/>
    <col min="4609" max="4609" width="51.7109375" style="341" customWidth="1"/>
    <col min="4610" max="4610" width="10.140625" style="341" customWidth="1"/>
    <col min="4611" max="4611" width="13.5703125" style="341" customWidth="1"/>
    <col min="4612" max="4612" width="12.42578125" style="341" customWidth="1"/>
    <col min="4613" max="4613" width="11.42578125" style="341" customWidth="1"/>
    <col min="4614" max="4614" width="10.85546875" style="341" customWidth="1"/>
    <col min="4615" max="4615" width="14.7109375" style="341" customWidth="1"/>
    <col min="4616" max="4864" width="9" style="341"/>
    <col min="4865" max="4865" width="51.7109375" style="341" customWidth="1"/>
    <col min="4866" max="4866" width="10.140625" style="341" customWidth="1"/>
    <col min="4867" max="4867" width="13.5703125" style="341" customWidth="1"/>
    <col min="4868" max="4868" width="12.42578125" style="341" customWidth="1"/>
    <col min="4869" max="4869" width="11.42578125" style="341" customWidth="1"/>
    <col min="4870" max="4870" width="10.85546875" style="341" customWidth="1"/>
    <col min="4871" max="4871" width="14.7109375" style="341" customWidth="1"/>
    <col min="4872" max="5120" width="9" style="341"/>
    <col min="5121" max="5121" width="51.7109375" style="341" customWidth="1"/>
    <col min="5122" max="5122" width="10.140625" style="341" customWidth="1"/>
    <col min="5123" max="5123" width="13.5703125" style="341" customWidth="1"/>
    <col min="5124" max="5124" width="12.42578125" style="341" customWidth="1"/>
    <col min="5125" max="5125" width="11.42578125" style="341" customWidth="1"/>
    <col min="5126" max="5126" width="10.85546875" style="341" customWidth="1"/>
    <col min="5127" max="5127" width="14.7109375" style="341" customWidth="1"/>
    <col min="5128" max="5376" width="9" style="341"/>
    <col min="5377" max="5377" width="51.7109375" style="341" customWidth="1"/>
    <col min="5378" max="5378" width="10.140625" style="341" customWidth="1"/>
    <col min="5379" max="5379" width="13.5703125" style="341" customWidth="1"/>
    <col min="5380" max="5380" width="12.42578125" style="341" customWidth="1"/>
    <col min="5381" max="5381" width="11.42578125" style="341" customWidth="1"/>
    <col min="5382" max="5382" width="10.85546875" style="341" customWidth="1"/>
    <col min="5383" max="5383" width="14.7109375" style="341" customWidth="1"/>
    <col min="5384" max="5632" width="9" style="341"/>
    <col min="5633" max="5633" width="51.7109375" style="341" customWidth="1"/>
    <col min="5634" max="5634" width="10.140625" style="341" customWidth="1"/>
    <col min="5635" max="5635" width="13.5703125" style="341" customWidth="1"/>
    <col min="5636" max="5636" width="12.42578125" style="341" customWidth="1"/>
    <col min="5637" max="5637" width="11.42578125" style="341" customWidth="1"/>
    <col min="5638" max="5638" width="10.85546875" style="341" customWidth="1"/>
    <col min="5639" max="5639" width="14.7109375" style="341" customWidth="1"/>
    <col min="5640" max="5888" width="9" style="341"/>
    <col min="5889" max="5889" width="51.7109375" style="341" customWidth="1"/>
    <col min="5890" max="5890" width="10.140625" style="341" customWidth="1"/>
    <col min="5891" max="5891" width="13.5703125" style="341" customWidth="1"/>
    <col min="5892" max="5892" width="12.42578125" style="341" customWidth="1"/>
    <col min="5893" max="5893" width="11.42578125" style="341" customWidth="1"/>
    <col min="5894" max="5894" width="10.85546875" style="341" customWidth="1"/>
    <col min="5895" max="5895" width="14.7109375" style="341" customWidth="1"/>
    <col min="5896" max="6144" width="9" style="341"/>
    <col min="6145" max="6145" width="51.7109375" style="341" customWidth="1"/>
    <col min="6146" max="6146" width="10.140625" style="341" customWidth="1"/>
    <col min="6147" max="6147" width="13.5703125" style="341" customWidth="1"/>
    <col min="6148" max="6148" width="12.42578125" style="341" customWidth="1"/>
    <col min="6149" max="6149" width="11.42578125" style="341" customWidth="1"/>
    <col min="6150" max="6150" width="10.85546875" style="341" customWidth="1"/>
    <col min="6151" max="6151" width="14.7109375" style="341" customWidth="1"/>
    <col min="6152" max="6400" width="9" style="341"/>
    <col min="6401" max="6401" width="51.7109375" style="341" customWidth="1"/>
    <col min="6402" max="6402" width="10.140625" style="341" customWidth="1"/>
    <col min="6403" max="6403" width="13.5703125" style="341" customWidth="1"/>
    <col min="6404" max="6404" width="12.42578125" style="341" customWidth="1"/>
    <col min="6405" max="6405" width="11.42578125" style="341" customWidth="1"/>
    <col min="6406" max="6406" width="10.85546875" style="341" customWidth="1"/>
    <col min="6407" max="6407" width="14.7109375" style="341" customWidth="1"/>
    <col min="6408" max="6656" width="9" style="341"/>
    <col min="6657" max="6657" width="51.7109375" style="341" customWidth="1"/>
    <col min="6658" max="6658" width="10.140625" style="341" customWidth="1"/>
    <col min="6659" max="6659" width="13.5703125" style="341" customWidth="1"/>
    <col min="6660" max="6660" width="12.42578125" style="341" customWidth="1"/>
    <col min="6661" max="6661" width="11.42578125" style="341" customWidth="1"/>
    <col min="6662" max="6662" width="10.85546875" style="341" customWidth="1"/>
    <col min="6663" max="6663" width="14.7109375" style="341" customWidth="1"/>
    <col min="6664" max="6912" width="9" style="341"/>
    <col min="6913" max="6913" width="51.7109375" style="341" customWidth="1"/>
    <col min="6914" max="6914" width="10.140625" style="341" customWidth="1"/>
    <col min="6915" max="6915" width="13.5703125" style="341" customWidth="1"/>
    <col min="6916" max="6916" width="12.42578125" style="341" customWidth="1"/>
    <col min="6917" max="6917" width="11.42578125" style="341" customWidth="1"/>
    <col min="6918" max="6918" width="10.85546875" style="341" customWidth="1"/>
    <col min="6919" max="6919" width="14.7109375" style="341" customWidth="1"/>
    <col min="6920" max="7168" width="9" style="341"/>
    <col min="7169" max="7169" width="51.7109375" style="341" customWidth="1"/>
    <col min="7170" max="7170" width="10.140625" style="341" customWidth="1"/>
    <col min="7171" max="7171" width="13.5703125" style="341" customWidth="1"/>
    <col min="7172" max="7172" width="12.42578125" style="341" customWidth="1"/>
    <col min="7173" max="7173" width="11.42578125" style="341" customWidth="1"/>
    <col min="7174" max="7174" width="10.85546875" style="341" customWidth="1"/>
    <col min="7175" max="7175" width="14.7109375" style="341" customWidth="1"/>
    <col min="7176" max="7424" width="9" style="341"/>
    <col min="7425" max="7425" width="51.7109375" style="341" customWidth="1"/>
    <col min="7426" max="7426" width="10.140625" style="341" customWidth="1"/>
    <col min="7427" max="7427" width="13.5703125" style="341" customWidth="1"/>
    <col min="7428" max="7428" width="12.42578125" style="341" customWidth="1"/>
    <col min="7429" max="7429" width="11.42578125" style="341" customWidth="1"/>
    <col min="7430" max="7430" width="10.85546875" style="341" customWidth="1"/>
    <col min="7431" max="7431" width="14.7109375" style="341" customWidth="1"/>
    <col min="7432" max="7680" width="9" style="341"/>
    <col min="7681" max="7681" width="51.7109375" style="341" customWidth="1"/>
    <col min="7682" max="7682" width="10.140625" style="341" customWidth="1"/>
    <col min="7683" max="7683" width="13.5703125" style="341" customWidth="1"/>
    <col min="7684" max="7684" width="12.42578125" style="341" customWidth="1"/>
    <col min="7685" max="7685" width="11.42578125" style="341" customWidth="1"/>
    <col min="7686" max="7686" width="10.85546875" style="341" customWidth="1"/>
    <col min="7687" max="7687" width="14.7109375" style="341" customWidth="1"/>
    <col min="7688" max="7936" width="9" style="341"/>
    <col min="7937" max="7937" width="51.7109375" style="341" customWidth="1"/>
    <col min="7938" max="7938" width="10.140625" style="341" customWidth="1"/>
    <col min="7939" max="7939" width="13.5703125" style="341" customWidth="1"/>
    <col min="7940" max="7940" width="12.42578125" style="341" customWidth="1"/>
    <col min="7941" max="7941" width="11.42578125" style="341" customWidth="1"/>
    <col min="7942" max="7942" width="10.85546875" style="341" customWidth="1"/>
    <col min="7943" max="7943" width="14.7109375" style="341" customWidth="1"/>
    <col min="7944" max="8192" width="9" style="341"/>
    <col min="8193" max="8193" width="51.7109375" style="341" customWidth="1"/>
    <col min="8194" max="8194" width="10.140625" style="341" customWidth="1"/>
    <col min="8195" max="8195" width="13.5703125" style="341" customWidth="1"/>
    <col min="8196" max="8196" width="12.42578125" style="341" customWidth="1"/>
    <col min="8197" max="8197" width="11.42578125" style="341" customWidth="1"/>
    <col min="8198" max="8198" width="10.85546875" style="341" customWidth="1"/>
    <col min="8199" max="8199" width="14.7109375" style="341" customWidth="1"/>
    <col min="8200" max="8448" width="9" style="341"/>
    <col min="8449" max="8449" width="51.7109375" style="341" customWidth="1"/>
    <col min="8450" max="8450" width="10.140625" style="341" customWidth="1"/>
    <col min="8451" max="8451" width="13.5703125" style="341" customWidth="1"/>
    <col min="8452" max="8452" width="12.42578125" style="341" customWidth="1"/>
    <col min="8453" max="8453" width="11.42578125" style="341" customWidth="1"/>
    <col min="8454" max="8454" width="10.85546875" style="341" customWidth="1"/>
    <col min="8455" max="8455" width="14.7109375" style="341" customWidth="1"/>
    <col min="8456" max="8704" width="9" style="341"/>
    <col min="8705" max="8705" width="51.7109375" style="341" customWidth="1"/>
    <col min="8706" max="8706" width="10.140625" style="341" customWidth="1"/>
    <col min="8707" max="8707" width="13.5703125" style="341" customWidth="1"/>
    <col min="8708" max="8708" width="12.42578125" style="341" customWidth="1"/>
    <col min="8709" max="8709" width="11.42578125" style="341" customWidth="1"/>
    <col min="8710" max="8710" width="10.85546875" style="341" customWidth="1"/>
    <col min="8711" max="8711" width="14.7109375" style="341" customWidth="1"/>
    <col min="8712" max="8960" width="9" style="341"/>
    <col min="8961" max="8961" width="51.7109375" style="341" customWidth="1"/>
    <col min="8962" max="8962" width="10.140625" style="341" customWidth="1"/>
    <col min="8963" max="8963" width="13.5703125" style="341" customWidth="1"/>
    <col min="8964" max="8964" width="12.42578125" style="341" customWidth="1"/>
    <col min="8965" max="8965" width="11.42578125" style="341" customWidth="1"/>
    <col min="8966" max="8966" width="10.85546875" style="341" customWidth="1"/>
    <col min="8967" max="8967" width="14.7109375" style="341" customWidth="1"/>
    <col min="8968" max="9216" width="9" style="341"/>
    <col min="9217" max="9217" width="51.7109375" style="341" customWidth="1"/>
    <col min="9218" max="9218" width="10.140625" style="341" customWidth="1"/>
    <col min="9219" max="9219" width="13.5703125" style="341" customWidth="1"/>
    <col min="9220" max="9220" width="12.42578125" style="341" customWidth="1"/>
    <col min="9221" max="9221" width="11.42578125" style="341" customWidth="1"/>
    <col min="9222" max="9222" width="10.85546875" style="341" customWidth="1"/>
    <col min="9223" max="9223" width="14.7109375" style="341" customWidth="1"/>
    <col min="9224" max="9472" width="9" style="341"/>
    <col min="9473" max="9473" width="51.7109375" style="341" customWidth="1"/>
    <col min="9474" max="9474" width="10.140625" style="341" customWidth="1"/>
    <col min="9475" max="9475" width="13.5703125" style="341" customWidth="1"/>
    <col min="9476" max="9476" width="12.42578125" style="341" customWidth="1"/>
    <col min="9477" max="9477" width="11.42578125" style="341" customWidth="1"/>
    <col min="9478" max="9478" width="10.85546875" style="341" customWidth="1"/>
    <col min="9479" max="9479" width="14.7109375" style="341" customWidth="1"/>
    <col min="9480" max="9728" width="9" style="341"/>
    <col min="9729" max="9729" width="51.7109375" style="341" customWidth="1"/>
    <col min="9730" max="9730" width="10.140625" style="341" customWidth="1"/>
    <col min="9731" max="9731" width="13.5703125" style="341" customWidth="1"/>
    <col min="9732" max="9732" width="12.42578125" style="341" customWidth="1"/>
    <col min="9733" max="9733" width="11.42578125" style="341" customWidth="1"/>
    <col min="9734" max="9734" width="10.85546875" style="341" customWidth="1"/>
    <col min="9735" max="9735" width="14.7109375" style="341" customWidth="1"/>
    <col min="9736" max="9984" width="9" style="341"/>
    <col min="9985" max="9985" width="51.7109375" style="341" customWidth="1"/>
    <col min="9986" max="9986" width="10.140625" style="341" customWidth="1"/>
    <col min="9987" max="9987" width="13.5703125" style="341" customWidth="1"/>
    <col min="9988" max="9988" width="12.42578125" style="341" customWidth="1"/>
    <col min="9989" max="9989" width="11.42578125" style="341" customWidth="1"/>
    <col min="9990" max="9990" width="10.85546875" style="341" customWidth="1"/>
    <col min="9991" max="9991" width="14.7109375" style="341" customWidth="1"/>
    <col min="9992" max="10240" width="9" style="341"/>
    <col min="10241" max="10241" width="51.7109375" style="341" customWidth="1"/>
    <col min="10242" max="10242" width="10.140625" style="341" customWidth="1"/>
    <col min="10243" max="10243" width="13.5703125" style="341" customWidth="1"/>
    <col min="10244" max="10244" width="12.42578125" style="341" customWidth="1"/>
    <col min="10245" max="10245" width="11.42578125" style="341" customWidth="1"/>
    <col min="10246" max="10246" width="10.85546875" style="341" customWidth="1"/>
    <col min="10247" max="10247" width="14.7109375" style="341" customWidth="1"/>
    <col min="10248" max="10496" width="9" style="341"/>
    <col min="10497" max="10497" width="51.7109375" style="341" customWidth="1"/>
    <col min="10498" max="10498" width="10.140625" style="341" customWidth="1"/>
    <col min="10499" max="10499" width="13.5703125" style="341" customWidth="1"/>
    <col min="10500" max="10500" width="12.42578125" style="341" customWidth="1"/>
    <col min="10501" max="10501" width="11.42578125" style="341" customWidth="1"/>
    <col min="10502" max="10502" width="10.85546875" style="341" customWidth="1"/>
    <col min="10503" max="10503" width="14.7109375" style="341" customWidth="1"/>
    <col min="10504" max="10752" width="9" style="341"/>
    <col min="10753" max="10753" width="51.7109375" style="341" customWidth="1"/>
    <col min="10754" max="10754" width="10.140625" style="341" customWidth="1"/>
    <col min="10755" max="10755" width="13.5703125" style="341" customWidth="1"/>
    <col min="10756" max="10756" width="12.42578125" style="341" customWidth="1"/>
    <col min="10757" max="10757" width="11.42578125" style="341" customWidth="1"/>
    <col min="10758" max="10758" width="10.85546875" style="341" customWidth="1"/>
    <col min="10759" max="10759" width="14.7109375" style="341" customWidth="1"/>
    <col min="10760" max="11008" width="9" style="341"/>
    <col min="11009" max="11009" width="51.7109375" style="341" customWidth="1"/>
    <col min="11010" max="11010" width="10.140625" style="341" customWidth="1"/>
    <col min="11011" max="11011" width="13.5703125" style="341" customWidth="1"/>
    <col min="11012" max="11012" width="12.42578125" style="341" customWidth="1"/>
    <col min="11013" max="11013" width="11.42578125" style="341" customWidth="1"/>
    <col min="11014" max="11014" width="10.85546875" style="341" customWidth="1"/>
    <col min="11015" max="11015" width="14.7109375" style="341" customWidth="1"/>
    <col min="11016" max="11264" width="9" style="341"/>
    <col min="11265" max="11265" width="51.7109375" style="341" customWidth="1"/>
    <col min="11266" max="11266" width="10.140625" style="341" customWidth="1"/>
    <col min="11267" max="11267" width="13.5703125" style="341" customWidth="1"/>
    <col min="11268" max="11268" width="12.42578125" style="341" customWidth="1"/>
    <col min="11269" max="11269" width="11.42578125" style="341" customWidth="1"/>
    <col min="11270" max="11270" width="10.85546875" style="341" customWidth="1"/>
    <col min="11271" max="11271" width="14.7109375" style="341" customWidth="1"/>
    <col min="11272" max="11520" width="9" style="341"/>
    <col min="11521" max="11521" width="51.7109375" style="341" customWidth="1"/>
    <col min="11522" max="11522" width="10.140625" style="341" customWidth="1"/>
    <col min="11523" max="11523" width="13.5703125" style="341" customWidth="1"/>
    <col min="11524" max="11524" width="12.42578125" style="341" customWidth="1"/>
    <col min="11525" max="11525" width="11.42578125" style="341" customWidth="1"/>
    <col min="11526" max="11526" width="10.85546875" style="341" customWidth="1"/>
    <col min="11527" max="11527" width="14.7109375" style="341" customWidth="1"/>
    <col min="11528" max="11776" width="9" style="341"/>
    <col min="11777" max="11777" width="51.7109375" style="341" customWidth="1"/>
    <col min="11778" max="11778" width="10.140625" style="341" customWidth="1"/>
    <col min="11779" max="11779" width="13.5703125" style="341" customWidth="1"/>
    <col min="11780" max="11780" width="12.42578125" style="341" customWidth="1"/>
    <col min="11781" max="11781" width="11.42578125" style="341" customWidth="1"/>
    <col min="11782" max="11782" width="10.85546875" style="341" customWidth="1"/>
    <col min="11783" max="11783" width="14.7109375" style="341" customWidth="1"/>
    <col min="11784" max="12032" width="9" style="341"/>
    <col min="12033" max="12033" width="51.7109375" style="341" customWidth="1"/>
    <col min="12034" max="12034" width="10.140625" style="341" customWidth="1"/>
    <col min="12035" max="12035" width="13.5703125" style="341" customWidth="1"/>
    <col min="12036" max="12036" width="12.42578125" style="341" customWidth="1"/>
    <col min="12037" max="12037" width="11.42578125" style="341" customWidth="1"/>
    <col min="12038" max="12038" width="10.85546875" style="341" customWidth="1"/>
    <col min="12039" max="12039" width="14.7109375" style="341" customWidth="1"/>
    <col min="12040" max="12288" width="9" style="341"/>
    <col min="12289" max="12289" width="51.7109375" style="341" customWidth="1"/>
    <col min="12290" max="12290" width="10.140625" style="341" customWidth="1"/>
    <col min="12291" max="12291" width="13.5703125" style="341" customWidth="1"/>
    <col min="12292" max="12292" width="12.42578125" style="341" customWidth="1"/>
    <col min="12293" max="12293" width="11.42578125" style="341" customWidth="1"/>
    <col min="12294" max="12294" width="10.85546875" style="341" customWidth="1"/>
    <col min="12295" max="12295" width="14.7109375" style="341" customWidth="1"/>
    <col min="12296" max="12544" width="9" style="341"/>
    <col min="12545" max="12545" width="51.7109375" style="341" customWidth="1"/>
    <col min="12546" max="12546" width="10.140625" style="341" customWidth="1"/>
    <col min="12547" max="12547" width="13.5703125" style="341" customWidth="1"/>
    <col min="12548" max="12548" width="12.42578125" style="341" customWidth="1"/>
    <col min="12549" max="12549" width="11.42578125" style="341" customWidth="1"/>
    <col min="12550" max="12550" width="10.85546875" style="341" customWidth="1"/>
    <col min="12551" max="12551" width="14.7109375" style="341" customWidth="1"/>
    <col min="12552" max="12800" width="9" style="341"/>
    <col min="12801" max="12801" width="51.7109375" style="341" customWidth="1"/>
    <col min="12802" max="12802" width="10.140625" style="341" customWidth="1"/>
    <col min="12803" max="12803" width="13.5703125" style="341" customWidth="1"/>
    <col min="12804" max="12804" width="12.42578125" style="341" customWidth="1"/>
    <col min="12805" max="12805" width="11.42578125" style="341" customWidth="1"/>
    <col min="12806" max="12806" width="10.85546875" style="341" customWidth="1"/>
    <col min="12807" max="12807" width="14.7109375" style="341" customWidth="1"/>
    <col min="12808" max="13056" width="9" style="341"/>
    <col min="13057" max="13057" width="51.7109375" style="341" customWidth="1"/>
    <col min="13058" max="13058" width="10.140625" style="341" customWidth="1"/>
    <col min="13059" max="13059" width="13.5703125" style="341" customWidth="1"/>
    <col min="13060" max="13060" width="12.42578125" style="341" customWidth="1"/>
    <col min="13061" max="13061" width="11.42578125" style="341" customWidth="1"/>
    <col min="13062" max="13062" width="10.85546875" style="341" customWidth="1"/>
    <col min="13063" max="13063" width="14.7109375" style="341" customWidth="1"/>
    <col min="13064" max="13312" width="9" style="341"/>
    <col min="13313" max="13313" width="51.7109375" style="341" customWidth="1"/>
    <col min="13314" max="13314" width="10.140625" style="341" customWidth="1"/>
    <col min="13315" max="13315" width="13.5703125" style="341" customWidth="1"/>
    <col min="13316" max="13316" width="12.42578125" style="341" customWidth="1"/>
    <col min="13317" max="13317" width="11.42578125" style="341" customWidth="1"/>
    <col min="13318" max="13318" width="10.85546875" style="341" customWidth="1"/>
    <col min="13319" max="13319" width="14.7109375" style="341" customWidth="1"/>
    <col min="13320" max="13568" width="9" style="341"/>
    <col min="13569" max="13569" width="51.7109375" style="341" customWidth="1"/>
    <col min="13570" max="13570" width="10.140625" style="341" customWidth="1"/>
    <col min="13571" max="13571" width="13.5703125" style="341" customWidth="1"/>
    <col min="13572" max="13572" width="12.42578125" style="341" customWidth="1"/>
    <col min="13573" max="13573" width="11.42578125" style="341" customWidth="1"/>
    <col min="13574" max="13574" width="10.85546875" style="341" customWidth="1"/>
    <col min="13575" max="13575" width="14.7109375" style="341" customWidth="1"/>
    <col min="13576" max="13824" width="9" style="341"/>
    <col min="13825" max="13825" width="51.7109375" style="341" customWidth="1"/>
    <col min="13826" max="13826" width="10.140625" style="341" customWidth="1"/>
    <col min="13827" max="13827" width="13.5703125" style="341" customWidth="1"/>
    <col min="13828" max="13828" width="12.42578125" style="341" customWidth="1"/>
    <col min="13829" max="13829" width="11.42578125" style="341" customWidth="1"/>
    <col min="13830" max="13830" width="10.85546875" style="341" customWidth="1"/>
    <col min="13831" max="13831" width="14.7109375" style="341" customWidth="1"/>
    <col min="13832" max="14080" width="9" style="341"/>
    <col min="14081" max="14081" width="51.7109375" style="341" customWidth="1"/>
    <col min="14082" max="14082" width="10.140625" style="341" customWidth="1"/>
    <col min="14083" max="14083" width="13.5703125" style="341" customWidth="1"/>
    <col min="14084" max="14084" width="12.42578125" style="341" customWidth="1"/>
    <col min="14085" max="14085" width="11.42578125" style="341" customWidth="1"/>
    <col min="14086" max="14086" width="10.85546875" style="341" customWidth="1"/>
    <col min="14087" max="14087" width="14.7109375" style="341" customWidth="1"/>
    <col min="14088" max="14336" width="9" style="341"/>
    <col min="14337" max="14337" width="51.7109375" style="341" customWidth="1"/>
    <col min="14338" max="14338" width="10.140625" style="341" customWidth="1"/>
    <col min="14339" max="14339" width="13.5703125" style="341" customWidth="1"/>
    <col min="14340" max="14340" width="12.42578125" style="341" customWidth="1"/>
    <col min="14341" max="14341" width="11.42578125" style="341" customWidth="1"/>
    <col min="14342" max="14342" width="10.85546875" style="341" customWidth="1"/>
    <col min="14343" max="14343" width="14.7109375" style="341" customWidth="1"/>
    <col min="14344" max="14592" width="9" style="341"/>
    <col min="14593" max="14593" width="51.7109375" style="341" customWidth="1"/>
    <col min="14594" max="14594" width="10.140625" style="341" customWidth="1"/>
    <col min="14595" max="14595" width="13.5703125" style="341" customWidth="1"/>
    <col min="14596" max="14596" width="12.42578125" style="341" customWidth="1"/>
    <col min="14597" max="14597" width="11.42578125" style="341" customWidth="1"/>
    <col min="14598" max="14598" width="10.85546875" style="341" customWidth="1"/>
    <col min="14599" max="14599" width="14.7109375" style="341" customWidth="1"/>
    <col min="14600" max="14848" width="9" style="341"/>
    <col min="14849" max="14849" width="51.7109375" style="341" customWidth="1"/>
    <col min="14850" max="14850" width="10.140625" style="341" customWidth="1"/>
    <col min="14851" max="14851" width="13.5703125" style="341" customWidth="1"/>
    <col min="14852" max="14852" width="12.42578125" style="341" customWidth="1"/>
    <col min="14853" max="14853" width="11.42578125" style="341" customWidth="1"/>
    <col min="14854" max="14854" width="10.85546875" style="341" customWidth="1"/>
    <col min="14855" max="14855" width="14.7109375" style="341" customWidth="1"/>
    <col min="14856" max="15104" width="9" style="341"/>
    <col min="15105" max="15105" width="51.7109375" style="341" customWidth="1"/>
    <col min="15106" max="15106" width="10.140625" style="341" customWidth="1"/>
    <col min="15107" max="15107" width="13.5703125" style="341" customWidth="1"/>
    <col min="15108" max="15108" width="12.42578125" style="341" customWidth="1"/>
    <col min="15109" max="15109" width="11.42578125" style="341" customWidth="1"/>
    <col min="15110" max="15110" width="10.85546875" style="341" customWidth="1"/>
    <col min="15111" max="15111" width="14.7109375" style="341" customWidth="1"/>
    <col min="15112" max="15360" width="9" style="341"/>
    <col min="15361" max="15361" width="51.7109375" style="341" customWidth="1"/>
    <col min="15362" max="15362" width="10.140625" style="341" customWidth="1"/>
    <col min="15363" max="15363" width="13.5703125" style="341" customWidth="1"/>
    <col min="15364" max="15364" width="12.42578125" style="341" customWidth="1"/>
    <col min="15365" max="15365" width="11.42578125" style="341" customWidth="1"/>
    <col min="15366" max="15366" width="10.85546875" style="341" customWidth="1"/>
    <col min="15367" max="15367" width="14.7109375" style="341" customWidth="1"/>
    <col min="15368" max="15616" width="9" style="341"/>
    <col min="15617" max="15617" width="51.7109375" style="341" customWidth="1"/>
    <col min="15618" max="15618" width="10.140625" style="341" customWidth="1"/>
    <col min="15619" max="15619" width="13.5703125" style="341" customWidth="1"/>
    <col min="15620" max="15620" width="12.42578125" style="341" customWidth="1"/>
    <col min="15621" max="15621" width="11.42578125" style="341" customWidth="1"/>
    <col min="15622" max="15622" width="10.85546875" style="341" customWidth="1"/>
    <col min="15623" max="15623" width="14.7109375" style="341" customWidth="1"/>
    <col min="15624" max="15872" width="9" style="341"/>
    <col min="15873" max="15873" width="51.7109375" style="341" customWidth="1"/>
    <col min="15874" max="15874" width="10.140625" style="341" customWidth="1"/>
    <col min="15875" max="15875" width="13.5703125" style="341" customWidth="1"/>
    <col min="15876" max="15876" width="12.42578125" style="341" customWidth="1"/>
    <col min="15877" max="15877" width="11.42578125" style="341" customWidth="1"/>
    <col min="15878" max="15878" width="10.85546875" style="341" customWidth="1"/>
    <col min="15879" max="15879" width="14.7109375" style="341" customWidth="1"/>
    <col min="15880" max="16128" width="9" style="341"/>
    <col min="16129" max="16129" width="51.7109375" style="341" customWidth="1"/>
    <col min="16130" max="16130" width="10.140625" style="341" customWidth="1"/>
    <col min="16131" max="16131" width="13.5703125" style="341" customWidth="1"/>
    <col min="16132" max="16132" width="12.42578125" style="341" customWidth="1"/>
    <col min="16133" max="16133" width="11.42578125" style="341" customWidth="1"/>
    <col min="16134" max="16134" width="10.85546875" style="341" customWidth="1"/>
    <col min="16135" max="16135" width="14.7109375" style="341" customWidth="1"/>
    <col min="16136" max="16384" width="9" style="341"/>
  </cols>
  <sheetData>
    <row r="1" spans="1:7" ht="25.5">
      <c r="A1" s="339" t="s">
        <v>395</v>
      </c>
      <c r="B1" s="339" t="s">
        <v>400</v>
      </c>
      <c r="C1" s="339" t="s">
        <v>401</v>
      </c>
      <c r="D1" s="339" t="s">
        <v>402</v>
      </c>
      <c r="E1" s="339" t="s">
        <v>403</v>
      </c>
      <c r="F1" s="340" t="s">
        <v>404</v>
      </c>
      <c r="G1" s="340" t="s">
        <v>405</v>
      </c>
    </row>
    <row r="2" spans="1:7">
      <c r="A2" s="342" t="s">
        <v>406</v>
      </c>
      <c r="B2" s="343" t="s">
        <v>407</v>
      </c>
      <c r="C2" s="343">
        <v>0</v>
      </c>
      <c r="D2" s="343">
        <v>24</v>
      </c>
      <c r="E2" s="344">
        <f>12/D2*C2</f>
        <v>0</v>
      </c>
      <c r="F2" s="345">
        <v>0</v>
      </c>
      <c r="G2" s="346">
        <f>E2*F2</f>
        <v>0</v>
      </c>
    </row>
    <row r="3" spans="1:7">
      <c r="A3" s="910" t="s">
        <v>408</v>
      </c>
      <c r="B3" s="910"/>
      <c r="C3" s="910"/>
      <c r="D3" s="910"/>
      <c r="E3" s="910"/>
      <c r="F3" s="910"/>
      <c r="G3" s="347">
        <f>SUM(G2:G2)</f>
        <v>0</v>
      </c>
    </row>
    <row r="4" spans="1:7">
      <c r="A4" s="910" t="s">
        <v>409</v>
      </c>
      <c r="B4" s="910"/>
      <c r="C4" s="910"/>
      <c r="D4" s="910"/>
      <c r="E4" s="910"/>
      <c r="F4" s="910"/>
      <c r="G4" s="347">
        <f>G3/12</f>
        <v>0</v>
      </c>
    </row>
    <row r="7" spans="1:7" ht="25.5">
      <c r="A7" s="339" t="s">
        <v>426</v>
      </c>
      <c r="B7" s="339" t="s">
        <v>400</v>
      </c>
      <c r="C7" s="339" t="s">
        <v>403</v>
      </c>
      <c r="D7" s="340" t="s">
        <v>404</v>
      </c>
      <c r="E7" s="340" t="s">
        <v>405</v>
      </c>
      <c r="F7" s="341"/>
    </row>
    <row r="8" spans="1:7">
      <c r="A8" s="348" t="s">
        <v>428</v>
      </c>
      <c r="B8" s="349" t="s">
        <v>420</v>
      </c>
      <c r="C8" s="350">
        <v>6</v>
      </c>
      <c r="D8" s="351">
        <v>40</v>
      </c>
      <c r="E8" s="352">
        <f>C8*D8</f>
        <v>240</v>
      </c>
      <c r="F8" s="341"/>
    </row>
    <row r="9" spans="1:7">
      <c r="A9" s="348" t="s">
        <v>429</v>
      </c>
      <c r="B9" s="349" t="s">
        <v>420</v>
      </c>
      <c r="C9" s="350">
        <v>8</v>
      </c>
      <c r="D9" s="353">
        <v>25</v>
      </c>
      <c r="E9" s="352">
        <f>C9*D9</f>
        <v>200</v>
      </c>
      <c r="F9" s="341"/>
    </row>
    <row r="10" spans="1:7" ht="13.5" customHeight="1">
      <c r="A10" s="348" t="s">
        <v>430</v>
      </c>
      <c r="B10" s="349" t="s">
        <v>420</v>
      </c>
      <c r="C10" s="350">
        <v>6</v>
      </c>
      <c r="D10" s="353">
        <v>45</v>
      </c>
      <c r="E10" s="352">
        <f>C10*D10</f>
        <v>270</v>
      </c>
      <c r="F10" s="341"/>
    </row>
    <row r="11" spans="1:7" ht="13.5" customHeight="1">
      <c r="A11" s="348" t="s">
        <v>432</v>
      </c>
      <c r="B11" s="349" t="s">
        <v>420</v>
      </c>
      <c r="C11" s="350">
        <v>4</v>
      </c>
      <c r="D11" s="353">
        <v>50</v>
      </c>
      <c r="E11" s="352">
        <f t="shared" ref="E11" si="0">C11*D11</f>
        <v>200</v>
      </c>
      <c r="F11" s="341"/>
    </row>
    <row r="12" spans="1:7" ht="13.5" customHeight="1">
      <c r="A12" s="348" t="s">
        <v>431</v>
      </c>
      <c r="B12" s="349" t="s">
        <v>418</v>
      </c>
      <c r="C12" s="350">
        <v>2</v>
      </c>
      <c r="D12" s="353">
        <v>50</v>
      </c>
      <c r="E12" s="352">
        <f>C12*D12</f>
        <v>100</v>
      </c>
      <c r="F12" s="341"/>
    </row>
    <row r="13" spans="1:7" ht="13.5" customHeight="1">
      <c r="A13" s="348"/>
      <c r="B13" s="349"/>
      <c r="C13" s="350">
        <v>36</v>
      </c>
      <c r="D13" s="353">
        <v>2.5</v>
      </c>
      <c r="E13" s="352">
        <f>C13*D13</f>
        <v>90</v>
      </c>
      <c r="F13" s="341"/>
    </row>
    <row r="14" spans="1:7" ht="13.5" customHeight="1">
      <c r="A14" s="348"/>
      <c r="B14" s="349"/>
      <c r="C14" s="350">
        <v>2</v>
      </c>
      <c r="D14" s="353">
        <v>85</v>
      </c>
      <c r="E14" s="352">
        <f>C14*D14</f>
        <v>170</v>
      </c>
      <c r="F14" s="341"/>
    </row>
    <row r="15" spans="1:7" ht="13.5" customHeight="1">
      <c r="A15" s="348"/>
      <c r="B15" s="349"/>
      <c r="C15" s="350">
        <v>3</v>
      </c>
      <c r="D15" s="353">
        <v>80</v>
      </c>
      <c r="E15" s="352">
        <f>C15*D15</f>
        <v>240</v>
      </c>
      <c r="F15" s="341"/>
    </row>
    <row r="16" spans="1:7" ht="13.5" customHeight="1">
      <c r="A16" s="348"/>
      <c r="B16" s="349"/>
      <c r="C16" s="350"/>
      <c r="D16" s="353"/>
      <c r="E16" s="352"/>
      <c r="F16" s="341"/>
    </row>
    <row r="17" spans="1:8" ht="13.5" customHeight="1">
      <c r="A17" s="348" t="s">
        <v>417</v>
      </c>
      <c r="B17" s="349" t="s">
        <v>420</v>
      </c>
      <c r="C17" s="350">
        <v>1</v>
      </c>
      <c r="D17" s="353">
        <v>10</v>
      </c>
      <c r="E17" s="352">
        <f>C17*D17</f>
        <v>10</v>
      </c>
      <c r="F17" s="341"/>
    </row>
    <row r="18" spans="1:8">
      <c r="A18" s="911" t="s">
        <v>410</v>
      </c>
      <c r="B18" s="912"/>
      <c r="C18" s="912"/>
      <c r="D18" s="913"/>
      <c r="E18" s="354">
        <f>SUM(E8:E17)</f>
        <v>1520</v>
      </c>
      <c r="F18" s="341"/>
    </row>
    <row r="19" spans="1:8">
      <c r="A19" s="914" t="s">
        <v>411</v>
      </c>
      <c r="B19" s="915"/>
      <c r="C19" s="915"/>
      <c r="D19" s="916"/>
      <c r="E19" s="355">
        <f>E18/12</f>
        <v>126.66666666666667</v>
      </c>
    </row>
    <row r="20" spans="1:8">
      <c r="A20" s="357"/>
      <c r="B20" s="357"/>
      <c r="C20" s="357"/>
      <c r="D20" s="357"/>
      <c r="E20" s="358"/>
    </row>
    <row r="21" spans="1:8">
      <c r="A21" s="357"/>
      <c r="B21" s="357"/>
      <c r="C21" s="357"/>
      <c r="D21" s="357"/>
      <c r="E21" s="358"/>
    </row>
    <row r="22" spans="1:8">
      <c r="A22" s="357"/>
      <c r="B22" s="357"/>
      <c r="C22" s="357"/>
      <c r="D22" s="357"/>
      <c r="E22" s="358"/>
    </row>
    <row r="23" spans="1:8" ht="38.85" customHeight="1">
      <c r="A23" s="359" t="s">
        <v>412</v>
      </c>
      <c r="B23" s="927" t="s">
        <v>413</v>
      </c>
      <c r="C23" s="928"/>
      <c r="D23" s="927" t="s">
        <v>414</v>
      </c>
      <c r="E23" s="928"/>
      <c r="F23" s="922" t="s">
        <v>415</v>
      </c>
      <c r="G23" s="923"/>
    </row>
    <row r="24" spans="1:8">
      <c r="A24" s="347" t="s">
        <v>395</v>
      </c>
      <c r="B24" s="347"/>
      <c r="C24" s="360">
        <f>G3</f>
        <v>0</v>
      </c>
      <c r="D24" s="929">
        <f>C24/12</f>
        <v>0</v>
      </c>
      <c r="E24" s="930"/>
      <c r="F24" s="931" t="e">
        <f>D24/G26</f>
        <v>#DIV/0!</v>
      </c>
      <c r="G24" s="932"/>
      <c r="H24" s="361"/>
    </row>
    <row r="25" spans="1:8">
      <c r="A25" s="917"/>
      <c r="B25" s="918"/>
      <c r="C25" s="918"/>
      <c r="D25" s="918"/>
      <c r="E25" s="919"/>
      <c r="F25" s="920"/>
      <c r="G25" s="921"/>
      <c r="H25" s="361"/>
    </row>
    <row r="26" spans="1:8" ht="31.35" customHeight="1">
      <c r="A26" s="922" t="s">
        <v>416</v>
      </c>
      <c r="B26" s="923"/>
      <c r="C26" s="923"/>
      <c r="D26" s="923"/>
      <c r="E26" s="923"/>
      <c r="F26" s="924"/>
      <c r="G26" s="362">
        <v>0</v>
      </c>
    </row>
    <row r="27" spans="1:8">
      <c r="A27" s="925"/>
      <c r="B27" s="925"/>
      <c r="C27" s="925"/>
      <c r="D27" s="925"/>
      <c r="E27" s="925"/>
      <c r="F27" s="925"/>
      <c r="G27" s="926"/>
    </row>
  </sheetData>
  <sheetProtection selectLockedCells="1" selectUnlockedCells="1"/>
  <mergeCells count="13">
    <mergeCell ref="A26:F26"/>
    <mergeCell ref="A27:G27"/>
    <mergeCell ref="B23:C23"/>
    <mergeCell ref="D23:E23"/>
    <mergeCell ref="F23:G23"/>
    <mergeCell ref="D24:E24"/>
    <mergeCell ref="F24:G24"/>
    <mergeCell ref="A3:F3"/>
    <mergeCell ref="A4:F4"/>
    <mergeCell ref="A18:D18"/>
    <mergeCell ref="A19:D19"/>
    <mergeCell ref="A25:E25"/>
    <mergeCell ref="F25:G25"/>
  </mergeCells>
  <pageMargins left="0.78749999999999998" right="0.78749999999999998" top="1.0527777777777778" bottom="1.0527777777777778" header="0.78749999999999998" footer="0.78749999999999998"/>
  <pageSetup paperSize="9" scale="67" firstPageNumber="0" orientation="portrait" horizontalDpi="300" verticalDpi="300" r:id="rId1"/>
  <headerFooter alignWithMargins="0">
    <oddHeader>&amp;C&amp;"Times New Roman,Normal"&amp;12&amp;A</oddHeader>
    <oddFooter>&amp;C&amp;"Times New Roman,Normal"&amp;12Página &amp;P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66CCFF"/>
    <pageSetUpPr fitToPage="1"/>
  </sheetPr>
  <dimension ref="A1:O116"/>
  <sheetViews>
    <sheetView view="pageBreakPreview" zoomScaleNormal="100" zoomScaleSheetLayoutView="100" workbookViewId="0">
      <selection activeCell="A75" sqref="A75:I75"/>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531</v>
      </c>
      <c r="B5" s="897"/>
      <c r="C5" s="897"/>
      <c r="D5" s="897"/>
      <c r="E5" s="897"/>
      <c r="F5" s="897"/>
      <c r="G5" s="897"/>
      <c r="H5" s="897"/>
      <c r="I5" s="898" t="s">
        <v>558</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1395.91</v>
      </c>
      <c r="M7" s="111"/>
    </row>
    <row r="8" spans="1:15">
      <c r="A8" s="409" t="s">
        <v>4</v>
      </c>
      <c r="B8" s="890" t="s">
        <v>397</v>
      </c>
      <c r="C8" s="890"/>
      <c r="D8" s="890"/>
      <c r="E8" s="890"/>
      <c r="F8" s="890"/>
      <c r="G8" s="890"/>
      <c r="H8" s="890"/>
      <c r="I8" s="890"/>
      <c r="J8" s="890"/>
      <c r="K8" s="333">
        <f>K7/220*8</f>
        <v>50.760363636363643</v>
      </c>
      <c r="L8" s="326"/>
      <c r="M8" s="111"/>
    </row>
    <row r="9" spans="1:15">
      <c r="A9" s="409" t="s">
        <v>6</v>
      </c>
      <c r="B9" s="374" t="s">
        <v>458</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50.760363636363643</v>
      </c>
      <c r="L10" s="113"/>
    </row>
    <row r="11" spans="1:15">
      <c r="A11" s="892" t="s">
        <v>208</v>
      </c>
      <c r="B11" s="892"/>
      <c r="C11" s="892"/>
      <c r="D11" s="892"/>
      <c r="E11" s="892"/>
      <c r="F11" s="892"/>
      <c r="G11" s="892"/>
      <c r="H11" s="892"/>
      <c r="I11" s="892"/>
      <c r="J11" s="892"/>
      <c r="K11" s="114">
        <f>SUM(K10:K10)</f>
        <v>50.760363636363643</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4.2300000000000004</v>
      </c>
    </row>
    <row r="15" spans="1:15">
      <c r="A15" s="409" t="s">
        <v>6</v>
      </c>
      <c r="B15" s="857" t="s">
        <v>164</v>
      </c>
      <c r="C15" s="858"/>
      <c r="D15" s="858"/>
      <c r="E15" s="858"/>
      <c r="F15" s="858"/>
      <c r="G15" s="858"/>
      <c r="H15" s="858"/>
      <c r="I15" s="859"/>
      <c r="J15" s="118">
        <f>J54*33.33%</f>
        <v>2.7774999999999998E-2</v>
      </c>
      <c r="K15" s="119">
        <f>ROUND($J15*K$11,2)</f>
        <v>1.41</v>
      </c>
      <c r="M15" s="109" t="s">
        <v>233</v>
      </c>
    </row>
    <row r="16" spans="1:15">
      <c r="A16" s="409" t="s">
        <v>10</v>
      </c>
      <c r="B16" s="411" t="s">
        <v>213</v>
      </c>
      <c r="C16" s="411"/>
      <c r="D16" s="411"/>
      <c r="E16" s="411"/>
      <c r="F16" s="411"/>
      <c r="G16" s="411"/>
      <c r="H16" s="411"/>
      <c r="I16" s="412"/>
      <c r="J16" s="118">
        <f>SUM(J14:J15)</f>
        <v>0.11107499999999999</v>
      </c>
      <c r="K16" s="112">
        <f>SUM(K14:K15)</f>
        <v>5.6400000000000006</v>
      </c>
    </row>
    <row r="17" spans="1:15">
      <c r="A17" s="409" t="s">
        <v>12</v>
      </c>
      <c r="B17" s="328" t="s">
        <v>398</v>
      </c>
      <c r="C17" s="328"/>
      <c r="D17" s="328"/>
      <c r="E17" s="328"/>
      <c r="F17" s="328"/>
      <c r="G17" s="328"/>
      <c r="H17" s="328"/>
      <c r="I17" s="329"/>
      <c r="J17" s="330">
        <f>J16*J28</f>
        <v>3.2767125000000001E-2</v>
      </c>
      <c r="K17" s="331">
        <f>ROUND($J17*K$11,2)</f>
        <v>1.66</v>
      </c>
    </row>
    <row r="18" spans="1:15">
      <c r="A18" s="847" t="s">
        <v>165</v>
      </c>
      <c r="B18" s="848"/>
      <c r="C18" s="848"/>
      <c r="D18" s="848"/>
      <c r="E18" s="848"/>
      <c r="F18" s="848"/>
      <c r="G18" s="848"/>
      <c r="H18" s="848"/>
      <c r="I18" s="863"/>
      <c r="J18" s="125">
        <f>SUM(J16:J17)</f>
        <v>0.14384212499999999</v>
      </c>
      <c r="K18" s="126">
        <f>SUM(K16:K17)</f>
        <v>7.3000000000000007</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10.15</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4.0599999999999996</v>
      </c>
      <c r="L25" s="121"/>
    </row>
    <row r="26" spans="1:15">
      <c r="A26" s="409" t="s">
        <v>15</v>
      </c>
      <c r="B26" s="844" t="s">
        <v>22</v>
      </c>
      <c r="C26" s="844"/>
      <c r="D26" s="844"/>
      <c r="E26" s="844"/>
      <c r="F26" s="410" t="s">
        <v>23</v>
      </c>
      <c r="G26" s="122">
        <v>0.03</v>
      </c>
      <c r="H26" s="410" t="s">
        <v>24</v>
      </c>
      <c r="I26" s="303">
        <v>0.5</v>
      </c>
      <c r="J26" s="104">
        <f>G26*I26</f>
        <v>1.4999999999999999E-2</v>
      </c>
      <c r="K26" s="119">
        <f t="shared" si="0"/>
        <v>0.76</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14.97</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1</v>
      </c>
      <c r="J30" s="402">
        <v>13.8</v>
      </c>
      <c r="K30" s="123">
        <f>(J30*I30)*80%</f>
        <v>11.040000000000001</v>
      </c>
    </row>
    <row r="31" spans="1:15">
      <c r="A31" s="409" t="s">
        <v>434</v>
      </c>
      <c r="B31" s="150" t="s">
        <v>435</v>
      </c>
      <c r="C31" s="151"/>
      <c r="D31" s="151"/>
      <c r="E31" s="151"/>
      <c r="F31" s="151"/>
      <c r="G31" s="151"/>
      <c r="H31" s="151"/>
      <c r="I31" s="405">
        <v>0</v>
      </c>
      <c r="J31" s="402">
        <v>0</v>
      </c>
      <c r="K31" s="123">
        <f>(J31*I31)*80%</f>
        <v>0</v>
      </c>
    </row>
    <row r="32" spans="1:15" ht="15.75" thickBot="1">
      <c r="A32" s="409" t="s">
        <v>6</v>
      </c>
      <c r="B32" s="876" t="s">
        <v>218</v>
      </c>
      <c r="C32" s="877"/>
      <c r="D32" s="877"/>
      <c r="E32" s="877"/>
      <c r="F32" s="877"/>
      <c r="G32" s="877"/>
      <c r="H32" s="152"/>
      <c r="I32" s="406">
        <v>2</v>
      </c>
      <c r="J32" s="403">
        <v>4.25</v>
      </c>
      <c r="K32" s="123">
        <f>I32*2*J32</f>
        <v>17</v>
      </c>
    </row>
    <row r="33" spans="1:11">
      <c r="A33" s="409" t="s">
        <v>10</v>
      </c>
      <c r="B33" s="876" t="s">
        <v>219</v>
      </c>
      <c r="C33" s="877"/>
      <c r="D33" s="877"/>
      <c r="E33" s="877"/>
      <c r="F33" s="877"/>
      <c r="G33" s="877"/>
      <c r="H33" s="877"/>
      <c r="I33" s="883"/>
      <c r="J33" s="153">
        <v>-0.06</v>
      </c>
      <c r="K33" s="154">
        <f>K8*J33</f>
        <v>-3.0456218181818184</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v>0</v>
      </c>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128.49437818181818</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7.3000000000000007</v>
      </c>
    </row>
    <row r="42" spans="1:11" s="109" customFormat="1" ht="12.75">
      <c r="A42" s="409" t="s">
        <v>175</v>
      </c>
      <c r="B42" s="857" t="s">
        <v>178</v>
      </c>
      <c r="C42" s="858"/>
      <c r="D42" s="858"/>
      <c r="E42" s="858"/>
      <c r="F42" s="858"/>
      <c r="G42" s="858"/>
      <c r="H42" s="858"/>
      <c r="I42" s="859"/>
      <c r="J42" s="408"/>
      <c r="K42" s="112">
        <f>K28</f>
        <v>14.97</v>
      </c>
    </row>
    <row r="43" spans="1:11" s="109" customFormat="1" ht="12.75">
      <c r="A43" s="409" t="s">
        <v>176</v>
      </c>
      <c r="B43" s="857" t="s">
        <v>180</v>
      </c>
      <c r="C43" s="858"/>
      <c r="D43" s="858"/>
      <c r="E43" s="858"/>
      <c r="F43" s="858"/>
      <c r="G43" s="858"/>
      <c r="H43" s="858"/>
      <c r="I43" s="859"/>
      <c r="J43" s="408"/>
      <c r="K43" s="112">
        <f>K39</f>
        <v>128.49437818181818</v>
      </c>
    </row>
    <row r="44" spans="1:11" s="109" customFormat="1" ht="12.75">
      <c r="A44" s="847" t="s">
        <v>179</v>
      </c>
      <c r="B44" s="848"/>
      <c r="C44" s="848"/>
      <c r="D44" s="848"/>
      <c r="E44" s="848"/>
      <c r="F44" s="848"/>
      <c r="G44" s="848"/>
      <c r="H44" s="848"/>
      <c r="I44" s="863"/>
      <c r="J44" s="125"/>
      <c r="K44" s="126">
        <f>SUM(K41:K43)</f>
        <v>150.76437818181819</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0.21</v>
      </c>
    </row>
    <row r="47" spans="1:11" s="109" customFormat="1" ht="12.75">
      <c r="A47" s="409" t="s">
        <v>6</v>
      </c>
      <c r="B47" s="844" t="s">
        <v>27</v>
      </c>
      <c r="C47" s="844"/>
      <c r="D47" s="844"/>
      <c r="E47" s="844"/>
      <c r="F47" s="844"/>
      <c r="G47" s="844"/>
      <c r="H47" s="844"/>
      <c r="I47" s="844"/>
      <c r="J47" s="118">
        <f>J25*J46</f>
        <v>3.3333333333333332E-4</v>
      </c>
      <c r="K47" s="112">
        <f>ROUND(J47*$K$11,2)</f>
        <v>0.02</v>
      </c>
    </row>
    <row r="48" spans="1:11" s="109" customFormat="1" ht="12.75">
      <c r="A48" s="409" t="s">
        <v>10</v>
      </c>
      <c r="B48" s="844" t="s">
        <v>184</v>
      </c>
      <c r="C48" s="844"/>
      <c r="D48" s="844"/>
      <c r="E48" s="844"/>
      <c r="F48" s="844"/>
      <c r="G48" s="844"/>
      <c r="H48" s="844"/>
      <c r="I48" s="844"/>
      <c r="J48" s="118">
        <f>(1/30)/12*7</f>
        <v>1.9444444444444445E-2</v>
      </c>
      <c r="K48" s="112">
        <f>ROUND(J48*$K$11,2)</f>
        <v>0.99</v>
      </c>
    </row>
    <row r="49" spans="1:15" s="109" customFormat="1" ht="12.75">
      <c r="A49" s="409" t="s">
        <v>12</v>
      </c>
      <c r="B49" s="844" t="s">
        <v>183</v>
      </c>
      <c r="C49" s="844"/>
      <c r="D49" s="844"/>
      <c r="E49" s="844"/>
      <c r="F49" s="844"/>
      <c r="G49" s="844"/>
      <c r="H49" s="844"/>
      <c r="I49" s="844"/>
      <c r="J49" s="118">
        <f>J28*J48</f>
        <v>5.736111111111112E-3</v>
      </c>
      <c r="K49" s="112">
        <f>ROUND(J49*$K$11,2)</f>
        <v>0.28999999999999998</v>
      </c>
    </row>
    <row r="50" spans="1:15" s="109" customFormat="1" ht="12.75">
      <c r="A50" s="324" t="s">
        <v>14</v>
      </c>
      <c r="B50" s="411" t="s">
        <v>399</v>
      </c>
      <c r="C50" s="411"/>
      <c r="D50" s="411"/>
      <c r="E50" s="411"/>
      <c r="F50" s="411"/>
      <c r="G50" s="411"/>
      <c r="H50" s="411"/>
      <c r="I50" s="412"/>
      <c r="J50" s="118">
        <f>0.5*J25</f>
        <v>0.04</v>
      </c>
      <c r="K50" s="112">
        <f>ROUND(J50*$K$11,2)</f>
        <v>2.0299999999999998</v>
      </c>
    </row>
    <row r="51" spans="1:15" s="109" customFormat="1" ht="12.75">
      <c r="A51" s="847" t="s">
        <v>181</v>
      </c>
      <c r="B51" s="848"/>
      <c r="C51" s="848"/>
      <c r="D51" s="848"/>
      <c r="E51" s="848"/>
      <c r="F51" s="848"/>
      <c r="G51" s="848"/>
      <c r="H51" s="848"/>
      <c r="I51" s="863"/>
      <c r="J51" s="125">
        <f>SUM(J46:J50)</f>
        <v>6.9680555555555551E-2</v>
      </c>
      <c r="K51" s="126">
        <f>SUM(K46:K50)</f>
        <v>3.54</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4.2300000000000004</v>
      </c>
    </row>
    <row r="55" spans="1:15">
      <c r="A55" s="409" t="s">
        <v>6</v>
      </c>
      <c r="B55" s="844" t="s">
        <v>188</v>
      </c>
      <c r="C55" s="844"/>
      <c r="D55" s="844"/>
      <c r="E55" s="844"/>
      <c r="F55" s="874" t="s">
        <v>29</v>
      </c>
      <c r="G55" s="874"/>
      <c r="H55" s="874"/>
      <c r="I55" s="131">
        <v>6</v>
      </c>
      <c r="J55" s="104">
        <f>I55/30/12</f>
        <v>1.6666666666666666E-2</v>
      </c>
      <c r="K55" s="112">
        <f>ROUND(J55*$K$11,2)</f>
        <v>0.85</v>
      </c>
    </row>
    <row r="56" spans="1:15">
      <c r="A56" s="409" t="s">
        <v>10</v>
      </c>
      <c r="B56" s="844" t="s">
        <v>30</v>
      </c>
      <c r="C56" s="844"/>
      <c r="D56" s="844"/>
      <c r="E56" s="844"/>
      <c r="F56" s="874" t="s">
        <v>28</v>
      </c>
      <c r="G56" s="874"/>
      <c r="H56" s="132">
        <v>1.4999999999999999E-2</v>
      </c>
      <c r="I56" s="133">
        <v>5</v>
      </c>
      <c r="J56" s="104">
        <f>I56/30/12*H56</f>
        <v>2.0833333333333332E-4</v>
      </c>
      <c r="K56" s="112">
        <f>ROUND(J56*$K$11,2)</f>
        <v>0.01</v>
      </c>
    </row>
    <row r="57" spans="1:15">
      <c r="A57" s="409" t="s">
        <v>12</v>
      </c>
      <c r="B57" s="844" t="s">
        <v>189</v>
      </c>
      <c r="C57" s="844"/>
      <c r="D57" s="844"/>
      <c r="E57" s="131"/>
      <c r="F57" s="874" t="s">
        <v>28</v>
      </c>
      <c r="G57" s="874"/>
      <c r="H57" s="132">
        <v>8.0000000000000002E-3</v>
      </c>
      <c r="I57" s="134">
        <v>20</v>
      </c>
      <c r="J57" s="104">
        <f>I57/30/12*H57</f>
        <v>4.4444444444444441E-4</v>
      </c>
      <c r="K57" s="112">
        <f>ROUND(J57*$K$11,2)</f>
        <v>0.02</v>
      </c>
    </row>
    <row r="58" spans="1:15">
      <c r="A58" s="409" t="s">
        <v>14</v>
      </c>
      <c r="B58" s="844" t="s">
        <v>190</v>
      </c>
      <c r="C58" s="844"/>
      <c r="D58" s="844"/>
      <c r="E58" s="131"/>
      <c r="F58" s="875"/>
      <c r="G58" s="874"/>
      <c r="H58" s="132">
        <v>0.1</v>
      </c>
      <c r="I58" s="134">
        <v>10</v>
      </c>
      <c r="J58" s="104">
        <f>I58/30/12*H58</f>
        <v>2.7777777777777779E-3</v>
      </c>
      <c r="K58" s="112">
        <f>ROUND(J58*$K$11,2)</f>
        <v>0.14000000000000001</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5.2499999999999991</v>
      </c>
    </row>
    <row r="61" spans="1:15">
      <c r="A61" s="409" t="s">
        <v>12</v>
      </c>
      <c r="B61" s="328" t="s">
        <v>215</v>
      </c>
      <c r="C61" s="328"/>
      <c r="D61" s="328"/>
      <c r="E61" s="328"/>
      <c r="F61" s="328"/>
      <c r="G61" s="328"/>
      <c r="H61" s="328"/>
      <c r="I61" s="329"/>
      <c r="J61" s="332">
        <f>J60*J28</f>
        <v>3.0512013888888894E-2</v>
      </c>
      <c r="K61" s="327">
        <f>ROUND(J61*$K$11,2)</f>
        <v>1.55</v>
      </c>
    </row>
    <row r="62" spans="1:15">
      <c r="A62" s="847" t="s">
        <v>192</v>
      </c>
      <c r="B62" s="848"/>
      <c r="C62" s="848"/>
      <c r="D62" s="848"/>
      <c r="E62" s="848"/>
      <c r="F62" s="848"/>
      <c r="G62" s="848"/>
      <c r="H62" s="848"/>
      <c r="I62" s="863"/>
      <c r="J62" s="148">
        <f>SUM(J60:J61)</f>
        <v>0.13394256944444444</v>
      </c>
      <c r="K62" s="126">
        <f>SUM(K60:K61)</f>
        <v>6.7999999999999989</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6.7999999999999989</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6.7999999999999989</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JARDINEIROS'!F18</f>
        <v>63.166666666666664</v>
      </c>
    </row>
    <row r="73" spans="1:13" s="109" customFormat="1" ht="12.75">
      <c r="A73" s="409" t="s">
        <v>6</v>
      </c>
      <c r="B73" s="866" t="s">
        <v>212</v>
      </c>
      <c r="C73" s="867"/>
      <c r="D73" s="867"/>
      <c r="E73" s="867"/>
      <c r="F73" s="867"/>
      <c r="G73" s="867"/>
      <c r="H73" s="867"/>
      <c r="I73" s="845">
        <v>0</v>
      </c>
      <c r="J73" s="846"/>
      <c r="K73" s="124">
        <f>(K$11+K$44+K$51+K$62)*I73</f>
        <v>0</v>
      </c>
      <c r="L73" s="137"/>
      <c r="M73" s="111"/>
    </row>
    <row r="74" spans="1:13" s="109" customFormat="1" ht="12.75">
      <c r="A74" s="409" t="s">
        <v>10</v>
      </c>
      <c r="B74" s="866" t="s">
        <v>394</v>
      </c>
      <c r="C74" s="867"/>
      <c r="D74" s="867"/>
      <c r="E74" s="867"/>
      <c r="F74" s="867"/>
      <c r="G74" s="867"/>
      <c r="H74" s="867"/>
      <c r="I74" s="845">
        <v>0</v>
      </c>
      <c r="J74" s="846"/>
      <c r="K74" s="124">
        <f>(K$11+K$44+K$51+K$62)*I74</f>
        <v>0</v>
      </c>
      <c r="L74" s="137"/>
      <c r="M74" s="111"/>
    </row>
    <row r="75" spans="1:13" s="109" customFormat="1" ht="12.75">
      <c r="A75" s="847" t="s">
        <v>207</v>
      </c>
      <c r="B75" s="848"/>
      <c r="C75" s="848"/>
      <c r="D75" s="848"/>
      <c r="E75" s="848"/>
      <c r="F75" s="848"/>
      <c r="G75" s="848"/>
      <c r="H75" s="848"/>
      <c r="I75" s="863"/>
      <c r="J75" s="125"/>
      <c r="K75" s="126">
        <f>SUM(K72:K74)</f>
        <v>63.166666666666664</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0.95</v>
      </c>
      <c r="K77" s="119">
        <f>J77*K95</f>
        <v>261.27983806060604</v>
      </c>
      <c r="L77" s="139"/>
    </row>
    <row r="78" spans="1:13" s="109" customFormat="1" ht="12.75">
      <c r="A78" s="409" t="s">
        <v>6</v>
      </c>
      <c r="B78" s="829" t="s">
        <v>32</v>
      </c>
      <c r="C78" s="829"/>
      <c r="D78" s="829"/>
      <c r="E78" s="829"/>
      <c r="F78" s="829"/>
      <c r="G78" s="829"/>
      <c r="H78" s="829"/>
      <c r="I78" s="829"/>
      <c r="J78" s="138">
        <v>0.85</v>
      </c>
      <c r="K78" s="119">
        <f>J78*(K95+K77)</f>
        <v>455.86455956363636</v>
      </c>
      <c r="L78" s="139"/>
    </row>
    <row r="79" spans="1:13" s="109" customFormat="1" ht="12.75">
      <c r="A79" s="836" t="s">
        <v>10</v>
      </c>
      <c r="B79" s="852" t="s">
        <v>33</v>
      </c>
      <c r="C79" s="853"/>
      <c r="D79" s="853"/>
      <c r="E79" s="853"/>
      <c r="F79" s="853"/>
      <c r="G79" s="853"/>
      <c r="H79" s="854"/>
      <c r="I79" s="855">
        <f>K95+K77+K78</f>
        <v>992.1758061090909</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1.76</v>
      </c>
      <c r="J81" s="840"/>
      <c r="K81" s="841">
        <f>SUM(I81:J86)</f>
        <v>30.37</v>
      </c>
    </row>
    <row r="82" spans="1:11" s="109" customFormat="1" ht="12.75">
      <c r="A82" s="836"/>
      <c r="B82" s="844"/>
      <c r="C82" s="844"/>
      <c r="D82" s="844"/>
      <c r="E82" s="844"/>
      <c r="F82" s="413" t="s">
        <v>38</v>
      </c>
      <c r="G82" s="575">
        <v>7.9500000000000005E-3</v>
      </c>
      <c r="H82" s="838"/>
      <c r="I82" s="839">
        <f t="shared" si="1"/>
        <v>8.1300000000000008</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20.48</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747.51439762424241</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50.760363636363643</v>
      </c>
    </row>
    <row r="91" spans="1:11" s="109" customFormat="1" ht="12.75">
      <c r="A91" s="409" t="s">
        <v>6</v>
      </c>
      <c r="B91" s="829" t="str">
        <f>A12</f>
        <v>MÓDULO 2 – ENCARGOS E BENEFÍCIOS ANUAIS, MENSAIS E DIÁRIOS</v>
      </c>
      <c r="C91" s="829"/>
      <c r="D91" s="829"/>
      <c r="E91" s="829"/>
      <c r="F91" s="829"/>
      <c r="G91" s="829"/>
      <c r="H91" s="829"/>
      <c r="I91" s="829"/>
      <c r="J91" s="829"/>
      <c r="K91" s="142">
        <f>K44</f>
        <v>150.76437818181819</v>
      </c>
    </row>
    <row r="92" spans="1:11" s="109" customFormat="1" ht="12.75">
      <c r="A92" s="409" t="s">
        <v>10</v>
      </c>
      <c r="B92" s="829" t="str">
        <f>A45</f>
        <v>MÓDULO 3 – PROVISÃO PARA RESCISÃO</v>
      </c>
      <c r="C92" s="829"/>
      <c r="D92" s="829"/>
      <c r="E92" s="829"/>
      <c r="F92" s="829"/>
      <c r="G92" s="829"/>
      <c r="H92" s="829"/>
      <c r="I92" s="829"/>
      <c r="J92" s="829"/>
      <c r="K92" s="142">
        <f>K51</f>
        <v>3.54</v>
      </c>
    </row>
    <row r="93" spans="1:11" s="109" customFormat="1" ht="12.75">
      <c r="A93" s="409" t="s">
        <v>12</v>
      </c>
      <c r="B93" s="829" t="str">
        <f>A52</f>
        <v>MÓDULO 4 – CUSTO DE REPOSIÇÃO DO PROFISSIONAL AUSENTE</v>
      </c>
      <c r="C93" s="829"/>
      <c r="D93" s="829"/>
      <c r="E93" s="829"/>
      <c r="F93" s="829"/>
      <c r="G93" s="829"/>
      <c r="H93" s="829"/>
      <c r="I93" s="829"/>
      <c r="J93" s="829"/>
      <c r="K93" s="142">
        <f>K62</f>
        <v>6.7999999999999989</v>
      </c>
    </row>
    <row r="94" spans="1:11" s="109" customFormat="1" ht="12.75">
      <c r="A94" s="409" t="s">
        <v>14</v>
      </c>
      <c r="B94" s="829" t="str">
        <f>A71</f>
        <v>MÓDULO 5 – INSUMOS DIVERSOS</v>
      </c>
      <c r="C94" s="829"/>
      <c r="D94" s="829"/>
      <c r="E94" s="829"/>
      <c r="F94" s="829"/>
      <c r="G94" s="829"/>
      <c r="H94" s="829"/>
      <c r="I94" s="829"/>
      <c r="J94" s="829"/>
      <c r="K94" s="142">
        <f>K75</f>
        <v>63.166666666666664</v>
      </c>
    </row>
    <row r="95" spans="1:11" s="109" customFormat="1" ht="12.75">
      <c r="A95" s="830" t="s">
        <v>209</v>
      </c>
      <c r="B95" s="830"/>
      <c r="C95" s="830"/>
      <c r="D95" s="830"/>
      <c r="E95" s="830"/>
      <c r="F95" s="830"/>
      <c r="G95" s="830"/>
      <c r="H95" s="830"/>
      <c r="I95" s="830"/>
      <c r="J95" s="830"/>
      <c r="K95" s="107">
        <f>SUM(K90:K94)</f>
        <v>275.0314084848485</v>
      </c>
    </row>
    <row r="96" spans="1:11" s="109" customFormat="1" ht="12.75">
      <c r="A96" s="409" t="s">
        <v>14</v>
      </c>
      <c r="B96" s="829" t="s">
        <v>46</v>
      </c>
      <c r="C96" s="829"/>
      <c r="D96" s="829"/>
      <c r="E96" s="829"/>
      <c r="F96" s="829"/>
      <c r="G96" s="829"/>
      <c r="H96" s="829"/>
      <c r="I96" s="829"/>
      <c r="J96" s="829"/>
      <c r="K96" s="108">
        <f>K97-K95</f>
        <v>747.51859151515146</v>
      </c>
    </row>
    <row r="97" spans="1:15" s="109" customFormat="1" ht="12.75">
      <c r="A97" s="831" t="s">
        <v>47</v>
      </c>
      <c r="B97" s="831"/>
      <c r="C97" s="831"/>
      <c r="D97" s="831"/>
      <c r="E97" s="831"/>
      <c r="F97" s="831"/>
      <c r="G97" s="831"/>
      <c r="H97" s="831"/>
      <c r="I97" s="831"/>
      <c r="J97" s="831"/>
      <c r="K97" s="143">
        <f>ROUND(I79/(1-$H$81),2)</f>
        <v>1022.55</v>
      </c>
    </row>
    <row r="98" spans="1:15" s="109" customFormat="1" ht="12.75">
      <c r="A98" s="832" t="s">
        <v>214</v>
      </c>
      <c r="B98" s="821"/>
      <c r="C98" s="821"/>
      <c r="D98" s="821"/>
      <c r="E98" s="821"/>
      <c r="F98" s="821"/>
      <c r="G98" s="821"/>
      <c r="H98" s="821"/>
      <c r="I98" s="155"/>
      <c r="J98" s="407">
        <v>1</v>
      </c>
      <c r="K98" s="156">
        <f>K97</f>
        <v>1022.55</v>
      </c>
    </row>
    <row r="99" spans="1:15" s="109" customFormat="1" ht="13.5" thickBot="1">
      <c r="A99" s="905" t="s">
        <v>217</v>
      </c>
      <c r="B99" s="905"/>
      <c r="C99" s="905"/>
      <c r="D99" s="905"/>
      <c r="E99" s="816"/>
      <c r="F99" s="816"/>
      <c r="G99" s="816"/>
      <c r="H99" s="816"/>
      <c r="I99" s="905"/>
      <c r="J99" s="905"/>
      <c r="K99" s="157">
        <f>K98*12</f>
        <v>12270.599999999999</v>
      </c>
    </row>
    <row r="100" spans="1:15" s="109" customFormat="1" ht="13.5" thickBot="1">
      <c r="A100" s="833" t="s">
        <v>529</v>
      </c>
      <c r="B100" s="834"/>
      <c r="C100" s="834"/>
      <c r="D100" s="834"/>
      <c r="E100" s="834"/>
      <c r="F100" s="834"/>
      <c r="G100" s="834"/>
      <c r="H100" s="834"/>
      <c r="I100" s="834"/>
      <c r="J100" s="835"/>
      <c r="K100" s="514">
        <f>(K99/12)</f>
        <v>1022.5499999999998</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0.95</v>
      </c>
      <c r="M103" s="304"/>
      <c r="N103" s="304"/>
      <c r="O103" s="304"/>
    </row>
    <row r="104" spans="1:15" ht="15" customHeight="1">
      <c r="G104" s="161"/>
      <c r="H104" s="823" t="s">
        <v>32</v>
      </c>
      <c r="I104" s="824"/>
      <c r="J104" s="825"/>
      <c r="K104" s="163">
        <f>J78</f>
        <v>0.85</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2.7179222920746158</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75:I75"/>
    <mergeCell ref="A76:I76"/>
    <mergeCell ref="B77:I77"/>
    <mergeCell ref="A66:J66"/>
    <mergeCell ref="B67:I67"/>
    <mergeCell ref="B68:I68"/>
    <mergeCell ref="A69:I69"/>
    <mergeCell ref="A70:K70"/>
    <mergeCell ref="A71:I71"/>
    <mergeCell ref="B73:H73"/>
    <mergeCell ref="I73:J73"/>
    <mergeCell ref="B74:H74"/>
    <mergeCell ref="I74:J74"/>
    <mergeCell ref="B78:I78"/>
    <mergeCell ref="A79:A86"/>
    <mergeCell ref="B79:H79"/>
    <mergeCell ref="I79:J79"/>
    <mergeCell ref="B80:E80"/>
    <mergeCell ref="I80:J80"/>
    <mergeCell ref="B81:E83"/>
    <mergeCell ref="H81:H86"/>
    <mergeCell ref="I81:J81"/>
    <mergeCell ref="A87:J87"/>
    <mergeCell ref="A88:K88"/>
    <mergeCell ref="A89:J89"/>
    <mergeCell ref="B90:J90"/>
    <mergeCell ref="B91:J91"/>
    <mergeCell ref="B92:J92"/>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66CCFF"/>
    <pageSetUpPr fitToPage="1"/>
  </sheetPr>
  <dimension ref="A1:O116"/>
  <sheetViews>
    <sheetView view="pageBreakPreview" zoomScale="90" zoomScaleNormal="100" zoomScaleSheetLayoutView="90" workbookViewId="0">
      <selection activeCell="A75" sqref="A75:I75"/>
    </sheetView>
  </sheetViews>
  <sheetFormatPr defaultRowHeight="15"/>
  <cols>
    <col min="1" max="1" width="8.140625" style="109" customWidth="1"/>
    <col min="2" max="2" width="9" style="109" customWidth="1"/>
    <col min="3" max="3" width="22.85546875" style="109" customWidth="1"/>
    <col min="4" max="4" width="7" style="109" customWidth="1"/>
    <col min="5" max="5" width="10.85546875" style="109" customWidth="1"/>
    <col min="6" max="6" width="10.42578125" style="109" customWidth="1"/>
    <col min="7" max="7" width="10.7109375" style="109" customWidth="1"/>
    <col min="8" max="8" width="13.7109375" style="146" customWidth="1"/>
    <col min="9" max="9" width="9" style="147" bestFit="1" customWidth="1"/>
    <col min="10" max="10" width="10.42578125" style="109" customWidth="1"/>
    <col min="11" max="11" width="16.7109375" style="116" customWidth="1"/>
    <col min="12" max="12" width="11.5703125" style="109" customWidth="1"/>
    <col min="13" max="13" width="12.140625" style="109" bestFit="1" customWidth="1"/>
    <col min="14" max="15" width="9.140625" style="109"/>
    <col min="16" max="16384" width="9.140625" style="304"/>
  </cols>
  <sheetData>
    <row r="1" spans="1:15">
      <c r="A1" s="893" t="s">
        <v>2</v>
      </c>
      <c r="B1" s="893"/>
      <c r="C1" s="893"/>
      <c r="D1" s="893"/>
      <c r="E1" s="893"/>
      <c r="F1" s="893"/>
      <c r="G1" s="893"/>
      <c r="H1" s="893"/>
      <c r="I1" s="893"/>
      <c r="J1" s="893"/>
      <c r="K1" s="893"/>
    </row>
    <row r="2" spans="1:15">
      <c r="A2" s="894" t="s">
        <v>461</v>
      </c>
      <c r="B2" s="895"/>
      <c r="C2" s="895"/>
      <c r="D2" s="895"/>
      <c r="E2" s="895"/>
      <c r="F2" s="895"/>
      <c r="G2" s="895"/>
      <c r="H2" s="895"/>
      <c r="I2" s="895"/>
      <c r="J2" s="895"/>
      <c r="K2" s="882"/>
      <c r="L2" s="305"/>
      <c r="M2" s="305"/>
      <c r="N2" s="305"/>
      <c r="O2" s="305"/>
    </row>
    <row r="3" spans="1:15">
      <c r="A3" s="894" t="s">
        <v>460</v>
      </c>
      <c r="B3" s="895"/>
      <c r="C3" s="895"/>
      <c r="D3" s="895"/>
      <c r="E3" s="895"/>
      <c r="F3" s="895"/>
      <c r="G3" s="895"/>
      <c r="H3" s="895"/>
      <c r="I3" s="895"/>
      <c r="J3" s="895"/>
      <c r="K3" s="882"/>
      <c r="L3" s="305"/>
      <c r="M3" s="305"/>
      <c r="N3" s="305"/>
      <c r="O3" s="305"/>
    </row>
    <row r="4" spans="1:15">
      <c r="A4" s="415"/>
      <c r="B4" s="335"/>
      <c r="C4" s="335"/>
      <c r="D4" s="335"/>
      <c r="E4" s="335"/>
      <c r="F4" s="335"/>
      <c r="G4" s="335"/>
      <c r="H4" s="335"/>
      <c r="I4" s="335"/>
      <c r="J4" s="335"/>
      <c r="K4" s="414"/>
      <c r="L4" s="305"/>
      <c r="M4" s="305"/>
      <c r="N4" s="305"/>
      <c r="O4" s="305"/>
    </row>
    <row r="5" spans="1:15" ht="27" customHeight="1">
      <c r="A5" s="896" t="s">
        <v>532</v>
      </c>
      <c r="B5" s="897"/>
      <c r="C5" s="897"/>
      <c r="D5" s="897"/>
      <c r="E5" s="897"/>
      <c r="F5" s="897"/>
      <c r="G5" s="897"/>
      <c r="H5" s="897"/>
      <c r="I5" s="898" t="s">
        <v>559</v>
      </c>
      <c r="J5" s="899"/>
      <c r="K5" s="900"/>
    </row>
    <row r="6" spans="1:15" s="321" customFormat="1">
      <c r="A6" s="904" t="s">
        <v>462</v>
      </c>
      <c r="B6" s="849"/>
      <c r="C6" s="849"/>
      <c r="D6" s="849"/>
      <c r="E6" s="849"/>
      <c r="F6" s="849"/>
      <c r="G6" s="849"/>
      <c r="H6" s="322">
        <v>1045</v>
      </c>
      <c r="I6" s="901"/>
      <c r="J6" s="902"/>
      <c r="K6" s="903"/>
      <c r="L6" s="320"/>
      <c r="M6" s="320"/>
      <c r="N6" s="320"/>
      <c r="O6" s="320"/>
    </row>
    <row r="7" spans="1:15">
      <c r="A7" s="888" t="s">
        <v>3</v>
      </c>
      <c r="B7" s="889"/>
      <c r="C7" s="889"/>
      <c r="D7" s="889"/>
      <c r="E7" s="889"/>
      <c r="F7" s="889"/>
      <c r="G7" s="889"/>
      <c r="H7" s="889"/>
      <c r="I7" s="889"/>
      <c r="J7" s="889"/>
      <c r="K7" s="301">
        <v>1395.91</v>
      </c>
      <c r="M7" s="111"/>
    </row>
    <row r="8" spans="1:15">
      <c r="A8" s="409" t="s">
        <v>4</v>
      </c>
      <c r="B8" s="890" t="s">
        <v>397</v>
      </c>
      <c r="C8" s="890"/>
      <c r="D8" s="890"/>
      <c r="E8" s="890"/>
      <c r="F8" s="890"/>
      <c r="G8" s="890"/>
      <c r="H8" s="890"/>
      <c r="I8" s="890"/>
      <c r="J8" s="890"/>
      <c r="K8" s="333">
        <f>K7/220*8</f>
        <v>50.760363636363643</v>
      </c>
      <c r="L8" s="326"/>
      <c r="M8" s="111"/>
    </row>
    <row r="9" spans="1:15">
      <c r="A9" s="409" t="s">
        <v>6</v>
      </c>
      <c r="B9" s="374" t="s">
        <v>458</v>
      </c>
      <c r="C9" s="375"/>
      <c r="D9" s="375"/>
      <c r="E9" s="375"/>
      <c r="F9" s="375"/>
      <c r="G9" s="375"/>
      <c r="H9" s="375"/>
      <c r="I9" s="375"/>
      <c r="J9" s="376">
        <v>0</v>
      </c>
      <c r="K9" s="333">
        <v>0</v>
      </c>
      <c r="L9" s="326"/>
      <c r="M9" s="111"/>
    </row>
    <row r="10" spans="1:15">
      <c r="A10" s="409"/>
      <c r="B10" s="866" t="s">
        <v>220</v>
      </c>
      <c r="C10" s="867"/>
      <c r="D10" s="867"/>
      <c r="E10" s="867"/>
      <c r="F10" s="867"/>
      <c r="G10" s="867"/>
      <c r="H10" s="867"/>
      <c r="I10" s="867"/>
      <c r="J10" s="891"/>
      <c r="K10" s="302">
        <f>SUM(K8:K9)</f>
        <v>50.760363636363643</v>
      </c>
      <c r="L10" s="113"/>
    </row>
    <row r="11" spans="1:15">
      <c r="A11" s="892" t="s">
        <v>208</v>
      </c>
      <c r="B11" s="892"/>
      <c r="C11" s="892"/>
      <c r="D11" s="892"/>
      <c r="E11" s="892"/>
      <c r="F11" s="892"/>
      <c r="G11" s="892"/>
      <c r="H11" s="892"/>
      <c r="I11" s="892"/>
      <c r="J11" s="892"/>
      <c r="K11" s="114">
        <f>SUM(K10:K10)</f>
        <v>50.760363636363643</v>
      </c>
      <c r="L11" s="115"/>
    </row>
    <row r="12" spans="1:15">
      <c r="A12" s="850" t="s">
        <v>161</v>
      </c>
      <c r="B12" s="850"/>
      <c r="C12" s="850"/>
      <c r="D12" s="850"/>
      <c r="E12" s="850"/>
      <c r="F12" s="850"/>
      <c r="G12" s="850"/>
      <c r="H12" s="850"/>
      <c r="I12" s="850"/>
      <c r="J12" s="850"/>
      <c r="K12" s="110"/>
    </row>
    <row r="13" spans="1:15">
      <c r="A13" s="872" t="s">
        <v>162</v>
      </c>
      <c r="B13" s="873"/>
      <c r="C13" s="873"/>
      <c r="D13" s="873"/>
      <c r="E13" s="873"/>
      <c r="F13" s="873"/>
      <c r="G13" s="873"/>
      <c r="H13" s="873"/>
      <c r="I13" s="873"/>
      <c r="J13" s="117" t="s">
        <v>9</v>
      </c>
      <c r="K13" s="112" t="s">
        <v>166</v>
      </c>
    </row>
    <row r="14" spans="1:15">
      <c r="A14" s="409" t="s">
        <v>4</v>
      </c>
      <c r="B14" s="857" t="s">
        <v>163</v>
      </c>
      <c r="C14" s="858"/>
      <c r="D14" s="858"/>
      <c r="E14" s="858"/>
      <c r="F14" s="858"/>
      <c r="G14" s="858"/>
      <c r="H14" s="858"/>
      <c r="I14" s="859"/>
      <c r="J14" s="118">
        <v>8.3299999999999999E-2</v>
      </c>
      <c r="K14" s="119">
        <f>ROUND($J14*K$11,2)</f>
        <v>4.2300000000000004</v>
      </c>
    </row>
    <row r="15" spans="1:15">
      <c r="A15" s="409" t="s">
        <v>6</v>
      </c>
      <c r="B15" s="857" t="s">
        <v>164</v>
      </c>
      <c r="C15" s="858"/>
      <c r="D15" s="858"/>
      <c r="E15" s="858"/>
      <c r="F15" s="858"/>
      <c r="G15" s="858"/>
      <c r="H15" s="858"/>
      <c r="I15" s="859"/>
      <c r="J15" s="118">
        <f>J54*33.33%</f>
        <v>2.7774999999999998E-2</v>
      </c>
      <c r="K15" s="119">
        <f>ROUND($J15*K$11,2)</f>
        <v>1.41</v>
      </c>
      <c r="M15" s="109" t="s">
        <v>233</v>
      </c>
    </row>
    <row r="16" spans="1:15">
      <c r="A16" s="409" t="s">
        <v>10</v>
      </c>
      <c r="B16" s="411" t="s">
        <v>213</v>
      </c>
      <c r="C16" s="411"/>
      <c r="D16" s="411"/>
      <c r="E16" s="411"/>
      <c r="F16" s="411"/>
      <c r="G16" s="411"/>
      <c r="H16" s="411"/>
      <c r="I16" s="412"/>
      <c r="J16" s="118">
        <f>SUM(J14:J15)</f>
        <v>0.11107499999999999</v>
      </c>
      <c r="K16" s="112">
        <f>SUM(K14:K15)</f>
        <v>5.6400000000000006</v>
      </c>
    </row>
    <row r="17" spans="1:15">
      <c r="A17" s="409" t="s">
        <v>12</v>
      </c>
      <c r="B17" s="328" t="s">
        <v>398</v>
      </c>
      <c r="C17" s="328"/>
      <c r="D17" s="328"/>
      <c r="E17" s="328"/>
      <c r="F17" s="328"/>
      <c r="G17" s="328"/>
      <c r="H17" s="328"/>
      <c r="I17" s="329"/>
      <c r="J17" s="330">
        <f>J16*J28</f>
        <v>3.2767125000000001E-2</v>
      </c>
      <c r="K17" s="331">
        <f>ROUND($J17*K$11,2)</f>
        <v>1.66</v>
      </c>
    </row>
    <row r="18" spans="1:15">
      <c r="A18" s="847" t="s">
        <v>165</v>
      </c>
      <c r="B18" s="848"/>
      <c r="C18" s="848"/>
      <c r="D18" s="848"/>
      <c r="E18" s="848"/>
      <c r="F18" s="848"/>
      <c r="G18" s="848"/>
      <c r="H18" s="848"/>
      <c r="I18" s="863"/>
      <c r="J18" s="125">
        <f>SUM(J16:J17)</f>
        <v>0.14384212499999999</v>
      </c>
      <c r="K18" s="126">
        <f>SUM(K16:K17)</f>
        <v>7.3000000000000007</v>
      </c>
    </row>
    <row r="19" spans="1:15">
      <c r="A19" s="872" t="s">
        <v>167</v>
      </c>
      <c r="B19" s="873"/>
      <c r="C19" s="873"/>
      <c r="D19" s="873"/>
      <c r="E19" s="873"/>
      <c r="F19" s="873"/>
      <c r="G19" s="873"/>
      <c r="H19" s="873"/>
      <c r="I19" s="873"/>
      <c r="J19" s="117" t="s">
        <v>9</v>
      </c>
      <c r="K19" s="112" t="s">
        <v>166</v>
      </c>
    </row>
    <row r="20" spans="1:15">
      <c r="A20" s="409" t="s">
        <v>4</v>
      </c>
      <c r="B20" s="844" t="s">
        <v>17</v>
      </c>
      <c r="C20" s="844"/>
      <c r="D20" s="844"/>
      <c r="E20" s="844"/>
      <c r="F20" s="844"/>
      <c r="G20" s="844"/>
      <c r="H20" s="844"/>
      <c r="I20" s="844"/>
      <c r="J20" s="103">
        <v>0.2</v>
      </c>
      <c r="K20" s="119">
        <f>ROUND($J$20*K11,2)</f>
        <v>10.15</v>
      </c>
    </row>
    <row r="21" spans="1:15">
      <c r="A21" s="409" t="s">
        <v>6</v>
      </c>
      <c r="B21" s="844" t="s">
        <v>18</v>
      </c>
      <c r="C21" s="844"/>
      <c r="D21" s="844"/>
      <c r="E21" s="844"/>
      <c r="F21" s="844"/>
      <c r="G21" s="844"/>
      <c r="H21" s="844"/>
      <c r="I21" s="844"/>
      <c r="J21" s="103">
        <v>0</v>
      </c>
      <c r="K21" s="119">
        <f>ROUND($J$21*K11,2)</f>
        <v>0</v>
      </c>
    </row>
    <row r="22" spans="1:15">
      <c r="A22" s="409" t="s">
        <v>10</v>
      </c>
      <c r="B22" s="844" t="s">
        <v>19</v>
      </c>
      <c r="C22" s="844"/>
      <c r="D22" s="844"/>
      <c r="E22" s="844"/>
      <c r="F22" s="844"/>
      <c r="G22" s="844"/>
      <c r="H22" s="844"/>
      <c r="I22" s="844"/>
      <c r="J22" s="103">
        <v>0</v>
      </c>
      <c r="K22" s="119">
        <f t="shared" ref="K22:K27" si="0">ROUND(J22*$K$11,2)</f>
        <v>0</v>
      </c>
    </row>
    <row r="23" spans="1:15">
      <c r="A23" s="409" t="s">
        <v>12</v>
      </c>
      <c r="B23" s="844" t="s">
        <v>20</v>
      </c>
      <c r="C23" s="844"/>
      <c r="D23" s="844"/>
      <c r="E23" s="844"/>
      <c r="F23" s="844"/>
      <c r="G23" s="844"/>
      <c r="H23" s="844"/>
      <c r="I23" s="844"/>
      <c r="J23" s="103">
        <v>0</v>
      </c>
      <c r="K23" s="119">
        <f t="shared" si="0"/>
        <v>0</v>
      </c>
    </row>
    <row r="24" spans="1:15">
      <c r="A24" s="409" t="s">
        <v>14</v>
      </c>
      <c r="B24" s="844" t="s">
        <v>21</v>
      </c>
      <c r="C24" s="844"/>
      <c r="D24" s="844"/>
      <c r="E24" s="844"/>
      <c r="F24" s="844"/>
      <c r="G24" s="844"/>
      <c r="H24" s="844"/>
      <c r="I24" s="844"/>
      <c r="J24" s="103">
        <v>0</v>
      </c>
      <c r="K24" s="119">
        <f t="shared" si="0"/>
        <v>0</v>
      </c>
      <c r="L24" s="120"/>
    </row>
    <row r="25" spans="1:15">
      <c r="A25" s="409" t="s">
        <v>1</v>
      </c>
      <c r="B25" s="857" t="s">
        <v>153</v>
      </c>
      <c r="C25" s="859"/>
      <c r="D25" s="884">
        <v>0.08</v>
      </c>
      <c r="E25" s="885"/>
      <c r="F25" s="857"/>
      <c r="G25" s="858"/>
      <c r="H25" s="858"/>
      <c r="I25" s="859"/>
      <c r="J25" s="103">
        <v>0.08</v>
      </c>
      <c r="K25" s="119">
        <f t="shared" si="0"/>
        <v>4.0599999999999996</v>
      </c>
      <c r="L25" s="121"/>
    </row>
    <row r="26" spans="1:15">
      <c r="A26" s="409" t="s">
        <v>15</v>
      </c>
      <c r="B26" s="844" t="s">
        <v>22</v>
      </c>
      <c r="C26" s="844"/>
      <c r="D26" s="844"/>
      <c r="E26" s="844"/>
      <c r="F26" s="410" t="s">
        <v>23</v>
      </c>
      <c r="G26" s="122">
        <v>0.03</v>
      </c>
      <c r="H26" s="410" t="s">
        <v>24</v>
      </c>
      <c r="I26" s="303">
        <v>0.5</v>
      </c>
      <c r="J26" s="104">
        <f>G26*I26</f>
        <v>1.4999999999999999E-2</v>
      </c>
      <c r="K26" s="119">
        <f t="shared" si="0"/>
        <v>0.76</v>
      </c>
    </row>
    <row r="27" spans="1:15">
      <c r="A27" s="409" t="s">
        <v>16</v>
      </c>
      <c r="B27" s="844" t="s">
        <v>25</v>
      </c>
      <c r="C27" s="844"/>
      <c r="D27" s="844"/>
      <c r="E27" s="844"/>
      <c r="F27" s="844"/>
      <c r="G27" s="844"/>
      <c r="H27" s="844"/>
      <c r="I27" s="844"/>
      <c r="J27" s="103">
        <v>0</v>
      </c>
      <c r="K27" s="119">
        <f t="shared" si="0"/>
        <v>0</v>
      </c>
      <c r="L27" s="305"/>
      <c r="M27" s="305"/>
      <c r="N27" s="305"/>
      <c r="O27" s="305"/>
    </row>
    <row r="28" spans="1:15" ht="15.75" thickBot="1">
      <c r="A28" s="847" t="s">
        <v>169</v>
      </c>
      <c r="B28" s="848"/>
      <c r="C28" s="848"/>
      <c r="D28" s="848"/>
      <c r="E28" s="848"/>
      <c r="F28" s="848"/>
      <c r="G28" s="848"/>
      <c r="H28" s="848"/>
      <c r="I28" s="882"/>
      <c r="J28" s="125">
        <f>SUM(J20:J27)</f>
        <v>0.29500000000000004</v>
      </c>
      <c r="K28" s="126">
        <f>SUM(K20:K27)</f>
        <v>14.97</v>
      </c>
      <c r="L28" s="305"/>
      <c r="M28" s="305"/>
      <c r="N28" s="305"/>
      <c r="O28" s="305"/>
    </row>
    <row r="29" spans="1:15">
      <c r="A29" s="886" t="s">
        <v>170</v>
      </c>
      <c r="B29" s="887"/>
      <c r="C29" s="887"/>
      <c r="D29" s="887"/>
      <c r="E29" s="887"/>
      <c r="F29" s="887"/>
      <c r="G29" s="887"/>
      <c r="H29" s="887"/>
      <c r="I29" s="404" t="s">
        <v>463</v>
      </c>
      <c r="J29" s="401"/>
      <c r="K29" s="112" t="s">
        <v>166</v>
      </c>
    </row>
    <row r="30" spans="1:15">
      <c r="A30" s="409" t="s">
        <v>4</v>
      </c>
      <c r="B30" s="150" t="s">
        <v>436</v>
      </c>
      <c r="C30" s="151"/>
      <c r="D30" s="151"/>
      <c r="E30" s="151"/>
      <c r="F30" s="151"/>
      <c r="G30" s="151"/>
      <c r="H30" s="151"/>
      <c r="I30" s="405">
        <v>1</v>
      </c>
      <c r="J30" s="402">
        <v>13.8</v>
      </c>
      <c r="K30" s="123">
        <f>(J30*I30)*80%</f>
        <v>11.040000000000001</v>
      </c>
    </row>
    <row r="31" spans="1:15">
      <c r="A31" s="409" t="s">
        <v>434</v>
      </c>
      <c r="B31" s="150" t="s">
        <v>435</v>
      </c>
      <c r="C31" s="151"/>
      <c r="D31" s="151"/>
      <c r="E31" s="151"/>
      <c r="F31" s="151"/>
      <c r="G31" s="151"/>
      <c r="H31" s="151"/>
      <c r="I31" s="405">
        <v>0</v>
      </c>
      <c r="J31" s="402">
        <v>0</v>
      </c>
      <c r="K31" s="123">
        <f>(J31*I31)*80%</f>
        <v>0</v>
      </c>
    </row>
    <row r="32" spans="1:15" ht="15.75" thickBot="1">
      <c r="A32" s="409" t="s">
        <v>6</v>
      </c>
      <c r="B32" s="876" t="s">
        <v>218</v>
      </c>
      <c r="C32" s="877"/>
      <c r="D32" s="877"/>
      <c r="E32" s="877"/>
      <c r="F32" s="877"/>
      <c r="G32" s="877"/>
      <c r="H32" s="152"/>
      <c r="I32" s="406">
        <v>2</v>
      </c>
      <c r="J32" s="403">
        <v>4.3</v>
      </c>
      <c r="K32" s="123">
        <f>I32*2*J32</f>
        <v>17.2</v>
      </c>
    </row>
    <row r="33" spans="1:11">
      <c r="A33" s="409" t="s">
        <v>10</v>
      </c>
      <c r="B33" s="876" t="s">
        <v>219</v>
      </c>
      <c r="C33" s="877"/>
      <c r="D33" s="877"/>
      <c r="E33" s="877"/>
      <c r="F33" s="877"/>
      <c r="G33" s="877"/>
      <c r="H33" s="877"/>
      <c r="I33" s="883"/>
      <c r="J33" s="153">
        <v>-0.06</v>
      </c>
      <c r="K33" s="154">
        <f>K8*J33</f>
        <v>-3.0456218181818184</v>
      </c>
    </row>
    <row r="34" spans="1:11">
      <c r="A34" s="324" t="s">
        <v>12</v>
      </c>
      <c r="B34" s="876" t="s">
        <v>437</v>
      </c>
      <c r="C34" s="877"/>
      <c r="D34" s="877"/>
      <c r="E34" s="877"/>
      <c r="F34" s="877"/>
      <c r="G34" s="877"/>
      <c r="H34" s="877"/>
      <c r="I34" s="878"/>
      <c r="J34" s="336"/>
      <c r="K34" s="337">
        <v>62.5</v>
      </c>
    </row>
    <row r="35" spans="1:11">
      <c r="A35" s="324" t="s">
        <v>14</v>
      </c>
      <c r="B35" s="876" t="s">
        <v>419</v>
      </c>
      <c r="C35" s="877"/>
      <c r="D35" s="877"/>
      <c r="E35" s="877"/>
      <c r="F35" s="877"/>
      <c r="G35" s="877"/>
      <c r="H35" s="877"/>
      <c r="I35" s="878"/>
      <c r="J35" s="336"/>
      <c r="K35" s="337">
        <v>20.5</v>
      </c>
    </row>
    <row r="36" spans="1:11">
      <c r="A36" s="324" t="s">
        <v>1</v>
      </c>
      <c r="B36" s="876" t="s">
        <v>438</v>
      </c>
      <c r="C36" s="877"/>
      <c r="D36" s="877"/>
      <c r="E36" s="877"/>
      <c r="F36" s="877"/>
      <c r="G36" s="877"/>
      <c r="H36" s="877"/>
      <c r="I36" s="878"/>
      <c r="J36" s="336"/>
      <c r="K36" s="337">
        <v>20.5</v>
      </c>
    </row>
    <row r="37" spans="1:11">
      <c r="A37" s="409" t="s">
        <v>15</v>
      </c>
      <c r="B37" s="876" t="s">
        <v>439</v>
      </c>
      <c r="C37" s="877"/>
      <c r="D37" s="877"/>
      <c r="E37" s="877"/>
      <c r="F37" s="877"/>
      <c r="G37" s="877"/>
      <c r="H37" s="877"/>
      <c r="I37" s="878"/>
      <c r="J37" s="410"/>
      <c r="K37" s="112">
        <v>0</v>
      </c>
    </row>
    <row r="38" spans="1:11" s="109" customFormat="1" ht="12.75">
      <c r="A38" s="409" t="s">
        <v>16</v>
      </c>
      <c r="B38" s="879" t="s">
        <v>0</v>
      </c>
      <c r="C38" s="880"/>
      <c r="D38" s="880"/>
      <c r="E38" s="880"/>
      <c r="F38" s="880"/>
      <c r="G38" s="880"/>
      <c r="H38" s="880"/>
      <c r="I38" s="880"/>
      <c r="J38" s="881"/>
      <c r="K38" s="124">
        <v>0</v>
      </c>
    </row>
    <row r="39" spans="1:11" s="109" customFormat="1" ht="12.75">
      <c r="A39" s="847" t="s">
        <v>172</v>
      </c>
      <c r="B39" s="848"/>
      <c r="C39" s="848"/>
      <c r="D39" s="848"/>
      <c r="E39" s="848"/>
      <c r="F39" s="848"/>
      <c r="G39" s="848"/>
      <c r="H39" s="848"/>
      <c r="I39" s="863"/>
      <c r="J39" s="125"/>
      <c r="K39" s="126">
        <f>SUM(K30:K38)</f>
        <v>128.69437818181819</v>
      </c>
    </row>
    <row r="40" spans="1:11" s="109" customFormat="1" ht="12.75">
      <c r="A40" s="850" t="s">
        <v>173</v>
      </c>
      <c r="B40" s="850"/>
      <c r="C40" s="850"/>
      <c r="D40" s="850"/>
      <c r="E40" s="850"/>
      <c r="F40" s="850"/>
      <c r="G40" s="850"/>
      <c r="H40" s="850"/>
      <c r="I40" s="850"/>
      <c r="J40" s="850"/>
      <c r="K40" s="128" t="s">
        <v>166</v>
      </c>
    </row>
    <row r="41" spans="1:11" s="109" customFormat="1" ht="12.75">
      <c r="A41" s="409" t="s">
        <v>174</v>
      </c>
      <c r="B41" s="857" t="s">
        <v>177</v>
      </c>
      <c r="C41" s="858"/>
      <c r="D41" s="858"/>
      <c r="E41" s="858"/>
      <c r="F41" s="858"/>
      <c r="G41" s="858"/>
      <c r="H41" s="858"/>
      <c r="I41" s="859"/>
      <c r="J41" s="408"/>
      <c r="K41" s="112">
        <f>K18</f>
        <v>7.3000000000000007</v>
      </c>
    </row>
    <row r="42" spans="1:11" s="109" customFormat="1" ht="12.75">
      <c r="A42" s="409" t="s">
        <v>175</v>
      </c>
      <c r="B42" s="857" t="s">
        <v>178</v>
      </c>
      <c r="C42" s="858"/>
      <c r="D42" s="858"/>
      <c r="E42" s="858"/>
      <c r="F42" s="858"/>
      <c r="G42" s="858"/>
      <c r="H42" s="858"/>
      <c r="I42" s="859"/>
      <c r="J42" s="408"/>
      <c r="K42" s="112">
        <f>K28</f>
        <v>14.97</v>
      </c>
    </row>
    <row r="43" spans="1:11" s="109" customFormat="1" ht="12.75">
      <c r="A43" s="409" t="s">
        <v>176</v>
      </c>
      <c r="B43" s="857" t="s">
        <v>180</v>
      </c>
      <c r="C43" s="858"/>
      <c r="D43" s="858"/>
      <c r="E43" s="858"/>
      <c r="F43" s="858"/>
      <c r="G43" s="858"/>
      <c r="H43" s="858"/>
      <c r="I43" s="859"/>
      <c r="J43" s="408"/>
      <c r="K43" s="112">
        <f>K39</f>
        <v>128.69437818181819</v>
      </c>
    </row>
    <row r="44" spans="1:11" s="109" customFormat="1" ht="12.75">
      <c r="A44" s="847" t="s">
        <v>179</v>
      </c>
      <c r="B44" s="848"/>
      <c r="C44" s="848"/>
      <c r="D44" s="848"/>
      <c r="E44" s="848"/>
      <c r="F44" s="848"/>
      <c r="G44" s="848"/>
      <c r="H44" s="848"/>
      <c r="I44" s="863"/>
      <c r="J44" s="125"/>
      <c r="K44" s="126">
        <f>SUM(K41:K43)</f>
        <v>150.9643781818182</v>
      </c>
    </row>
    <row r="45" spans="1:11" s="109" customFormat="1" ht="12.75">
      <c r="A45" s="850" t="s">
        <v>171</v>
      </c>
      <c r="B45" s="850"/>
      <c r="C45" s="850"/>
      <c r="D45" s="850"/>
      <c r="E45" s="850"/>
      <c r="F45" s="850"/>
      <c r="G45" s="850"/>
      <c r="H45" s="850"/>
      <c r="I45" s="850"/>
      <c r="J45" s="127" t="s">
        <v>9</v>
      </c>
      <c r="K45" s="128" t="s">
        <v>166</v>
      </c>
    </row>
    <row r="46" spans="1:11" s="109" customFormat="1" ht="12.75">
      <c r="A46" s="409" t="s">
        <v>4</v>
      </c>
      <c r="B46" s="844" t="s">
        <v>26</v>
      </c>
      <c r="C46" s="844"/>
      <c r="D46" s="844"/>
      <c r="E46" s="844"/>
      <c r="F46" s="844"/>
      <c r="G46" s="844"/>
      <c r="H46" s="129">
        <v>30</v>
      </c>
      <c r="I46" s="130">
        <v>0.05</v>
      </c>
      <c r="J46" s="118">
        <f>H46/30/12*I46</f>
        <v>4.1666666666666666E-3</v>
      </c>
      <c r="K46" s="112">
        <f>ROUND(J46*$K$11,2)</f>
        <v>0.21</v>
      </c>
    </row>
    <row r="47" spans="1:11" s="109" customFormat="1" ht="12.75">
      <c r="A47" s="409" t="s">
        <v>6</v>
      </c>
      <c r="B47" s="844" t="s">
        <v>27</v>
      </c>
      <c r="C47" s="844"/>
      <c r="D47" s="844"/>
      <c r="E47" s="844"/>
      <c r="F47" s="844"/>
      <c r="G47" s="844"/>
      <c r="H47" s="844"/>
      <c r="I47" s="844"/>
      <c r="J47" s="118">
        <f>J25*J46</f>
        <v>3.3333333333333332E-4</v>
      </c>
      <c r="K47" s="112">
        <f>ROUND(J47*$K$11,2)</f>
        <v>0.02</v>
      </c>
    </row>
    <row r="48" spans="1:11" s="109" customFormat="1" ht="12.75">
      <c r="A48" s="409" t="s">
        <v>10</v>
      </c>
      <c r="B48" s="844" t="s">
        <v>184</v>
      </c>
      <c r="C48" s="844"/>
      <c r="D48" s="844"/>
      <c r="E48" s="844"/>
      <c r="F48" s="844"/>
      <c r="G48" s="844"/>
      <c r="H48" s="844"/>
      <c r="I48" s="844"/>
      <c r="J48" s="118">
        <f>(1/30)/12*7</f>
        <v>1.9444444444444445E-2</v>
      </c>
      <c r="K48" s="112">
        <f>ROUND(J48*$K$11,2)</f>
        <v>0.99</v>
      </c>
    </row>
    <row r="49" spans="1:15" s="109" customFormat="1" ht="12.75">
      <c r="A49" s="409" t="s">
        <v>12</v>
      </c>
      <c r="B49" s="844" t="s">
        <v>183</v>
      </c>
      <c r="C49" s="844"/>
      <c r="D49" s="844"/>
      <c r="E49" s="844"/>
      <c r="F49" s="844"/>
      <c r="G49" s="844"/>
      <c r="H49" s="844"/>
      <c r="I49" s="844"/>
      <c r="J49" s="118">
        <f>J28*J48</f>
        <v>5.736111111111112E-3</v>
      </c>
      <c r="K49" s="112">
        <f>ROUND(J49*$K$11,2)</f>
        <v>0.28999999999999998</v>
      </c>
    </row>
    <row r="50" spans="1:15" s="109" customFormat="1" ht="12.75">
      <c r="A50" s="324" t="s">
        <v>14</v>
      </c>
      <c r="B50" s="411" t="s">
        <v>399</v>
      </c>
      <c r="C50" s="411"/>
      <c r="D50" s="411"/>
      <c r="E50" s="411"/>
      <c r="F50" s="411"/>
      <c r="G50" s="411"/>
      <c r="H50" s="411"/>
      <c r="I50" s="412"/>
      <c r="J50" s="118">
        <f>0.5*J25</f>
        <v>0.04</v>
      </c>
      <c r="K50" s="112">
        <f>ROUND(J50*$K$11,2)</f>
        <v>2.0299999999999998</v>
      </c>
    </row>
    <row r="51" spans="1:15" s="109" customFormat="1" ht="12.75">
      <c r="A51" s="847" t="s">
        <v>181</v>
      </c>
      <c r="B51" s="848"/>
      <c r="C51" s="848"/>
      <c r="D51" s="848"/>
      <c r="E51" s="848"/>
      <c r="F51" s="848"/>
      <c r="G51" s="848"/>
      <c r="H51" s="848"/>
      <c r="I51" s="863"/>
      <c r="J51" s="125">
        <f>SUM(J46:J50)</f>
        <v>6.9680555555555551E-2</v>
      </c>
      <c r="K51" s="126">
        <f>SUM(K46:K50)</f>
        <v>3.54</v>
      </c>
    </row>
    <row r="52" spans="1:15" s="109" customFormat="1" ht="12.75">
      <c r="A52" s="850" t="s">
        <v>186</v>
      </c>
      <c r="B52" s="850"/>
      <c r="C52" s="850"/>
      <c r="D52" s="850"/>
      <c r="E52" s="850"/>
      <c r="F52" s="850"/>
      <c r="G52" s="850"/>
      <c r="H52" s="850"/>
      <c r="I52" s="850"/>
      <c r="J52" s="127"/>
      <c r="K52" s="128"/>
    </row>
    <row r="53" spans="1:15" s="109" customFormat="1" ht="12.75">
      <c r="A53" s="872" t="s">
        <v>191</v>
      </c>
      <c r="B53" s="873"/>
      <c r="C53" s="873"/>
      <c r="D53" s="873"/>
      <c r="E53" s="873"/>
      <c r="F53" s="873"/>
      <c r="G53" s="873"/>
      <c r="H53" s="873"/>
      <c r="I53" s="873"/>
      <c r="J53" s="117" t="s">
        <v>9</v>
      </c>
      <c r="K53" s="112" t="s">
        <v>166</v>
      </c>
    </row>
    <row r="54" spans="1:15">
      <c r="A54" s="409" t="s">
        <v>4</v>
      </c>
      <c r="B54" s="829" t="s">
        <v>187</v>
      </c>
      <c r="C54" s="829"/>
      <c r="D54" s="829"/>
      <c r="E54" s="829"/>
      <c r="F54" s="829"/>
      <c r="G54" s="829"/>
      <c r="H54" s="829"/>
      <c r="I54" s="829"/>
      <c r="J54" s="104">
        <f>1/12</f>
        <v>8.3333333333333329E-2</v>
      </c>
      <c r="K54" s="112">
        <f>ROUND(J54*$K$11,2)</f>
        <v>4.2300000000000004</v>
      </c>
    </row>
    <row r="55" spans="1:15">
      <c r="A55" s="409" t="s">
        <v>6</v>
      </c>
      <c r="B55" s="844" t="s">
        <v>188</v>
      </c>
      <c r="C55" s="844"/>
      <c r="D55" s="844"/>
      <c r="E55" s="844"/>
      <c r="F55" s="874" t="s">
        <v>29</v>
      </c>
      <c r="G55" s="874"/>
      <c r="H55" s="874"/>
      <c r="I55" s="131">
        <v>6</v>
      </c>
      <c r="J55" s="104">
        <f>I55/30/12</f>
        <v>1.6666666666666666E-2</v>
      </c>
      <c r="K55" s="112">
        <f>ROUND(J55*$K$11,2)</f>
        <v>0.85</v>
      </c>
    </row>
    <row r="56" spans="1:15">
      <c r="A56" s="409" t="s">
        <v>10</v>
      </c>
      <c r="B56" s="844" t="s">
        <v>30</v>
      </c>
      <c r="C56" s="844"/>
      <c r="D56" s="844"/>
      <c r="E56" s="844"/>
      <c r="F56" s="874" t="s">
        <v>28</v>
      </c>
      <c r="G56" s="874"/>
      <c r="H56" s="132">
        <v>1.4999999999999999E-2</v>
      </c>
      <c r="I56" s="133">
        <v>5</v>
      </c>
      <c r="J56" s="104">
        <f>I56/30/12*H56</f>
        <v>2.0833333333333332E-4</v>
      </c>
      <c r="K56" s="112">
        <f>ROUND(J56*$K$11,2)</f>
        <v>0.01</v>
      </c>
    </row>
    <row r="57" spans="1:15">
      <c r="A57" s="409" t="s">
        <v>12</v>
      </c>
      <c r="B57" s="844" t="s">
        <v>189</v>
      </c>
      <c r="C57" s="844"/>
      <c r="D57" s="844"/>
      <c r="E57" s="131"/>
      <c r="F57" s="874" t="s">
        <v>28</v>
      </c>
      <c r="G57" s="874"/>
      <c r="H57" s="132">
        <v>8.0000000000000002E-3</v>
      </c>
      <c r="I57" s="134">
        <v>20</v>
      </c>
      <c r="J57" s="104">
        <f>I57/30/12*H57</f>
        <v>4.4444444444444441E-4</v>
      </c>
      <c r="K57" s="112">
        <f>ROUND(J57*$K$11,2)</f>
        <v>0.02</v>
      </c>
    </row>
    <row r="58" spans="1:15">
      <c r="A58" s="409" t="s">
        <v>14</v>
      </c>
      <c r="B58" s="844" t="s">
        <v>190</v>
      </c>
      <c r="C58" s="844"/>
      <c r="D58" s="844"/>
      <c r="E58" s="131"/>
      <c r="F58" s="875"/>
      <c r="G58" s="874"/>
      <c r="H58" s="132">
        <v>0.1</v>
      </c>
      <c r="I58" s="134">
        <v>10</v>
      </c>
      <c r="J58" s="104">
        <f>I58/30/12*H58</f>
        <v>2.7777777777777779E-3</v>
      </c>
      <c r="K58" s="112">
        <f>ROUND(J58*$K$11,2)</f>
        <v>0.14000000000000001</v>
      </c>
      <c r="L58" s="111"/>
    </row>
    <row r="59" spans="1:15">
      <c r="A59" s="409" t="s">
        <v>1</v>
      </c>
      <c r="B59" s="868" t="s">
        <v>0</v>
      </c>
      <c r="C59" s="868"/>
      <c r="D59" s="868" t="s">
        <v>31</v>
      </c>
      <c r="E59" s="868"/>
      <c r="F59" s="868"/>
      <c r="G59" s="868"/>
      <c r="H59" s="868"/>
      <c r="I59" s="868"/>
      <c r="J59" s="103"/>
      <c r="K59" s="112">
        <f>J59*$K$11</f>
        <v>0</v>
      </c>
      <c r="L59" s="111"/>
    </row>
    <row r="60" spans="1:15">
      <c r="A60" s="869" t="s">
        <v>216</v>
      </c>
      <c r="B60" s="870"/>
      <c r="C60" s="870"/>
      <c r="D60" s="870"/>
      <c r="E60" s="870"/>
      <c r="F60" s="870"/>
      <c r="G60" s="870"/>
      <c r="H60" s="870"/>
      <c r="I60" s="871"/>
      <c r="J60" s="135">
        <f>SUM(J54:J59)</f>
        <v>0.10343055555555555</v>
      </c>
      <c r="K60" s="112">
        <f>SUM(K54:K59)</f>
        <v>5.2499999999999991</v>
      </c>
    </row>
    <row r="61" spans="1:15">
      <c r="A61" s="409" t="s">
        <v>12</v>
      </c>
      <c r="B61" s="328" t="s">
        <v>215</v>
      </c>
      <c r="C61" s="328"/>
      <c r="D61" s="328"/>
      <c r="E61" s="328"/>
      <c r="F61" s="328"/>
      <c r="G61" s="328"/>
      <c r="H61" s="328"/>
      <c r="I61" s="329"/>
      <c r="J61" s="332">
        <f>J60*J28</f>
        <v>3.0512013888888894E-2</v>
      </c>
      <c r="K61" s="327">
        <f>ROUND(J61*$K$11,2)</f>
        <v>1.55</v>
      </c>
    </row>
    <row r="62" spans="1:15">
      <c r="A62" s="847" t="s">
        <v>192</v>
      </c>
      <c r="B62" s="848"/>
      <c r="C62" s="848"/>
      <c r="D62" s="848"/>
      <c r="E62" s="848"/>
      <c r="F62" s="848"/>
      <c r="G62" s="848"/>
      <c r="H62" s="848"/>
      <c r="I62" s="863"/>
      <c r="J62" s="148">
        <f>SUM(J60:J61)</f>
        <v>0.13394256944444444</v>
      </c>
      <c r="K62" s="126">
        <f>SUM(K60:K61)</f>
        <v>6.7999999999999989</v>
      </c>
      <c r="L62" s="149"/>
      <c r="M62" s="149"/>
      <c r="N62" s="149"/>
      <c r="O62" s="149"/>
    </row>
    <row r="63" spans="1:15">
      <c r="A63" s="872" t="s">
        <v>193</v>
      </c>
      <c r="B63" s="873"/>
      <c r="C63" s="873"/>
      <c r="D63" s="873"/>
      <c r="E63" s="873"/>
      <c r="F63" s="873"/>
      <c r="G63" s="873"/>
      <c r="H63" s="873"/>
      <c r="I63" s="873"/>
      <c r="J63" s="117" t="s">
        <v>9</v>
      </c>
      <c r="K63" s="112" t="s">
        <v>166</v>
      </c>
    </row>
    <row r="64" spans="1:15">
      <c r="A64" s="409" t="s">
        <v>4</v>
      </c>
      <c r="B64" s="829" t="s">
        <v>194</v>
      </c>
      <c r="C64" s="829"/>
      <c r="D64" s="829"/>
      <c r="E64" s="829"/>
      <c r="F64" s="829"/>
      <c r="G64" s="829"/>
      <c r="H64" s="829"/>
      <c r="I64" s="829"/>
      <c r="J64" s="104"/>
      <c r="K64" s="112">
        <f>J64*$K$11</f>
        <v>0</v>
      </c>
    </row>
    <row r="65" spans="1:13">
      <c r="A65" s="869" t="s">
        <v>195</v>
      </c>
      <c r="B65" s="870"/>
      <c r="C65" s="870"/>
      <c r="D65" s="870"/>
      <c r="E65" s="870"/>
      <c r="F65" s="870"/>
      <c r="G65" s="870"/>
      <c r="H65" s="870"/>
      <c r="I65" s="871"/>
      <c r="J65" s="135"/>
      <c r="K65" s="112">
        <f>SUM(K64:K64)</f>
        <v>0</v>
      </c>
    </row>
    <row r="66" spans="1:13">
      <c r="A66" s="850" t="s">
        <v>196</v>
      </c>
      <c r="B66" s="850"/>
      <c r="C66" s="850"/>
      <c r="D66" s="850"/>
      <c r="E66" s="850"/>
      <c r="F66" s="850"/>
      <c r="G66" s="850"/>
      <c r="H66" s="850"/>
      <c r="I66" s="850"/>
      <c r="J66" s="850"/>
      <c r="K66" s="128" t="s">
        <v>166</v>
      </c>
    </row>
    <row r="67" spans="1:13">
      <c r="A67" s="409" t="s">
        <v>197</v>
      </c>
      <c r="B67" s="857" t="s">
        <v>188</v>
      </c>
      <c r="C67" s="858"/>
      <c r="D67" s="858"/>
      <c r="E67" s="858"/>
      <c r="F67" s="858"/>
      <c r="G67" s="858"/>
      <c r="H67" s="858"/>
      <c r="I67" s="859"/>
      <c r="J67" s="408"/>
      <c r="K67" s="112">
        <f>K62</f>
        <v>6.7999999999999989</v>
      </c>
    </row>
    <row r="68" spans="1:13">
      <c r="A68" s="409" t="s">
        <v>198</v>
      </c>
      <c r="B68" s="857" t="s">
        <v>199</v>
      </c>
      <c r="C68" s="858"/>
      <c r="D68" s="858"/>
      <c r="E68" s="858"/>
      <c r="F68" s="858"/>
      <c r="G68" s="858"/>
      <c r="H68" s="858"/>
      <c r="I68" s="859"/>
      <c r="J68" s="408"/>
      <c r="K68" s="112">
        <f>K65</f>
        <v>0</v>
      </c>
    </row>
    <row r="69" spans="1:13">
      <c r="A69" s="847" t="s">
        <v>200</v>
      </c>
      <c r="B69" s="848"/>
      <c r="C69" s="848"/>
      <c r="D69" s="848"/>
      <c r="E69" s="848"/>
      <c r="F69" s="848"/>
      <c r="G69" s="848"/>
      <c r="H69" s="848"/>
      <c r="I69" s="863"/>
      <c r="J69" s="125"/>
      <c r="K69" s="126">
        <f>SUM(K67:K68)</f>
        <v>6.7999999999999989</v>
      </c>
    </row>
    <row r="70" spans="1:13" s="109" customFormat="1" ht="12.75">
      <c r="A70" s="864"/>
      <c r="B70" s="865"/>
      <c r="C70" s="865"/>
      <c r="D70" s="865"/>
      <c r="E70" s="865"/>
      <c r="F70" s="865"/>
      <c r="G70" s="865"/>
      <c r="H70" s="865"/>
      <c r="I70" s="865"/>
      <c r="J70" s="865"/>
      <c r="K70" s="865"/>
    </row>
    <row r="71" spans="1:13" s="109" customFormat="1" ht="12.75">
      <c r="A71" s="850" t="s">
        <v>201</v>
      </c>
      <c r="B71" s="850"/>
      <c r="C71" s="850"/>
      <c r="D71" s="850"/>
      <c r="E71" s="850"/>
      <c r="F71" s="850"/>
      <c r="G71" s="850"/>
      <c r="H71" s="850"/>
      <c r="I71" s="850"/>
      <c r="J71" s="127"/>
      <c r="K71" s="128" t="s">
        <v>166</v>
      </c>
      <c r="L71" s="136"/>
    </row>
    <row r="72" spans="1:13" s="109" customFormat="1" ht="12.75">
      <c r="A72" s="409" t="s">
        <v>4</v>
      </c>
      <c r="B72" s="862" t="s">
        <v>425</v>
      </c>
      <c r="C72" s="862"/>
      <c r="D72" s="862"/>
      <c r="E72" s="862"/>
      <c r="F72" s="862"/>
      <c r="G72" s="862"/>
      <c r="H72" s="862"/>
      <c r="I72" s="862"/>
      <c r="J72" s="862"/>
      <c r="K72" s="112">
        <f>'UNIFORME JARDINEIROS'!F18</f>
        <v>63.166666666666664</v>
      </c>
    </row>
    <row r="73" spans="1:13" s="109" customFormat="1" ht="12.75">
      <c r="A73" s="409" t="s">
        <v>6</v>
      </c>
      <c r="B73" s="866" t="s">
        <v>212</v>
      </c>
      <c r="C73" s="867"/>
      <c r="D73" s="867"/>
      <c r="E73" s="867"/>
      <c r="F73" s="867"/>
      <c r="G73" s="867"/>
      <c r="H73" s="867"/>
      <c r="I73" s="845">
        <v>0</v>
      </c>
      <c r="J73" s="846"/>
      <c r="K73" s="124">
        <f>(K$11+K$44+K$51+K$62)*I73</f>
        <v>0</v>
      </c>
      <c r="L73" s="137"/>
      <c r="M73" s="111"/>
    </row>
    <row r="74" spans="1:13" s="109" customFormat="1" ht="12.75">
      <c r="A74" s="409" t="s">
        <v>10</v>
      </c>
      <c r="B74" s="866" t="s">
        <v>394</v>
      </c>
      <c r="C74" s="867"/>
      <c r="D74" s="867"/>
      <c r="E74" s="867"/>
      <c r="F74" s="867"/>
      <c r="G74" s="867"/>
      <c r="H74" s="867"/>
      <c r="I74" s="845">
        <v>0</v>
      </c>
      <c r="J74" s="846"/>
      <c r="K74" s="124">
        <f>(K$11+K$44+K$51+K$62)*I74</f>
        <v>0</v>
      </c>
      <c r="L74" s="137"/>
      <c r="M74" s="111"/>
    </row>
    <row r="75" spans="1:13" s="109" customFormat="1" ht="12.75">
      <c r="A75" s="847" t="s">
        <v>207</v>
      </c>
      <c r="B75" s="848"/>
      <c r="C75" s="848"/>
      <c r="D75" s="848"/>
      <c r="E75" s="848"/>
      <c r="F75" s="848"/>
      <c r="G75" s="848"/>
      <c r="H75" s="848"/>
      <c r="I75" s="863"/>
      <c r="J75" s="125"/>
      <c r="K75" s="126">
        <f>SUM(K72:K74)</f>
        <v>63.166666666666664</v>
      </c>
    </row>
    <row r="76" spans="1:13" s="109" customFormat="1" ht="12.75">
      <c r="A76" s="850" t="s">
        <v>205</v>
      </c>
      <c r="B76" s="850"/>
      <c r="C76" s="850"/>
      <c r="D76" s="850"/>
      <c r="E76" s="850"/>
      <c r="F76" s="850"/>
      <c r="G76" s="850"/>
      <c r="H76" s="850"/>
      <c r="I76" s="850"/>
      <c r="J76" s="127"/>
      <c r="K76" s="128">
        <f>K5</f>
        <v>0</v>
      </c>
    </row>
    <row r="77" spans="1:13" s="109" customFormat="1" ht="12.75">
      <c r="A77" s="409" t="s">
        <v>4</v>
      </c>
      <c r="B77" s="829" t="s">
        <v>206</v>
      </c>
      <c r="C77" s="829"/>
      <c r="D77" s="829"/>
      <c r="E77" s="829"/>
      <c r="F77" s="829"/>
      <c r="G77" s="829"/>
      <c r="H77" s="829"/>
      <c r="I77" s="829"/>
      <c r="J77" s="138">
        <v>0.95</v>
      </c>
      <c r="K77" s="119">
        <f>J77*K95</f>
        <v>261.46983806060609</v>
      </c>
      <c r="L77" s="139"/>
    </row>
    <row r="78" spans="1:13" s="109" customFormat="1" ht="12.75">
      <c r="A78" s="409" t="s">
        <v>6</v>
      </c>
      <c r="B78" s="829" t="s">
        <v>32</v>
      </c>
      <c r="C78" s="829"/>
      <c r="D78" s="829"/>
      <c r="E78" s="829"/>
      <c r="F78" s="829"/>
      <c r="G78" s="829"/>
      <c r="H78" s="829"/>
      <c r="I78" s="829"/>
      <c r="J78" s="138">
        <v>0.85</v>
      </c>
      <c r="K78" s="119">
        <f>J78*(K95+K77)</f>
        <v>456.19605956363642</v>
      </c>
      <c r="L78" s="139"/>
    </row>
    <row r="79" spans="1:13" s="109" customFormat="1" ht="12.75">
      <c r="A79" s="836" t="s">
        <v>10</v>
      </c>
      <c r="B79" s="852" t="s">
        <v>33</v>
      </c>
      <c r="C79" s="853"/>
      <c r="D79" s="853"/>
      <c r="E79" s="853"/>
      <c r="F79" s="853"/>
      <c r="G79" s="853"/>
      <c r="H79" s="854"/>
      <c r="I79" s="855">
        <f>K95+K77+K78</f>
        <v>992.89730610909101</v>
      </c>
      <c r="J79" s="856"/>
      <c r="K79" s="140"/>
    </row>
    <row r="80" spans="1:13" s="109" customFormat="1" ht="12.75">
      <c r="A80" s="836"/>
      <c r="B80" s="857" t="s">
        <v>34</v>
      </c>
      <c r="C80" s="858"/>
      <c r="D80" s="858"/>
      <c r="E80" s="859"/>
      <c r="F80" s="413"/>
      <c r="G80" s="413" t="s">
        <v>35</v>
      </c>
      <c r="H80" s="413" t="s">
        <v>653</v>
      </c>
      <c r="I80" s="860"/>
      <c r="J80" s="861"/>
      <c r="K80" s="140"/>
    </row>
    <row r="81" spans="1:11" s="109" customFormat="1" ht="12.75">
      <c r="A81" s="836"/>
      <c r="B81" s="844" t="s">
        <v>36</v>
      </c>
      <c r="C81" s="844"/>
      <c r="D81" s="844"/>
      <c r="E81" s="844"/>
      <c r="F81" s="413" t="s">
        <v>37</v>
      </c>
      <c r="G81" s="575">
        <v>1.72E-3</v>
      </c>
      <c r="H81" s="838">
        <f>SUM(G81:G86)</f>
        <v>2.9699999999999997E-2</v>
      </c>
      <c r="I81" s="839">
        <f t="shared" ref="I81:I86" si="1">ROUND($K$97*G81,2)</f>
        <v>1.76</v>
      </c>
      <c r="J81" s="840"/>
      <c r="K81" s="841">
        <f>SUM(I81:J86)</f>
        <v>30.4</v>
      </c>
    </row>
    <row r="82" spans="1:11" s="109" customFormat="1" ht="12.75">
      <c r="A82" s="836"/>
      <c r="B82" s="844"/>
      <c r="C82" s="844"/>
      <c r="D82" s="844"/>
      <c r="E82" s="844"/>
      <c r="F82" s="413" t="s">
        <v>38</v>
      </c>
      <c r="G82" s="575">
        <v>7.9500000000000005E-3</v>
      </c>
      <c r="H82" s="838"/>
      <c r="I82" s="839">
        <f t="shared" si="1"/>
        <v>8.14</v>
      </c>
      <c r="J82" s="840"/>
      <c r="K82" s="842"/>
    </row>
    <row r="83" spans="1:11" s="109" customFormat="1" ht="12.75">
      <c r="A83" s="836"/>
      <c r="B83" s="844"/>
      <c r="C83" s="844"/>
      <c r="D83" s="844"/>
      <c r="E83" s="844"/>
      <c r="F83" s="413" t="s">
        <v>39</v>
      </c>
      <c r="G83" s="141">
        <v>0</v>
      </c>
      <c r="H83" s="838"/>
      <c r="I83" s="839">
        <f t="shared" si="1"/>
        <v>0</v>
      </c>
      <c r="J83" s="840"/>
      <c r="K83" s="842"/>
    </row>
    <row r="84" spans="1:11" s="109" customFormat="1" ht="12.75">
      <c r="A84" s="836"/>
      <c r="B84" s="844" t="s">
        <v>40</v>
      </c>
      <c r="C84" s="844"/>
      <c r="D84" s="844"/>
      <c r="E84" s="844"/>
      <c r="F84" s="105" t="s">
        <v>41</v>
      </c>
      <c r="G84" s="575">
        <v>2.0029999999999999E-2</v>
      </c>
      <c r="H84" s="838"/>
      <c r="I84" s="839">
        <f t="shared" si="1"/>
        <v>20.5</v>
      </c>
      <c r="J84" s="840"/>
      <c r="K84" s="842"/>
    </row>
    <row r="85" spans="1:11" s="109" customFormat="1" ht="12.75">
      <c r="A85" s="836"/>
      <c r="B85" s="844"/>
      <c r="C85" s="844"/>
      <c r="D85" s="844"/>
      <c r="E85" s="844"/>
      <c r="F85" s="105" t="s">
        <v>39</v>
      </c>
      <c r="G85" s="141">
        <v>0</v>
      </c>
      <c r="H85" s="838"/>
      <c r="I85" s="839">
        <f>ROUND($K$97*G85,2)</f>
        <v>0</v>
      </c>
      <c r="J85" s="840"/>
      <c r="K85" s="842"/>
    </row>
    <row r="86" spans="1:11" s="109" customFormat="1" ht="12.75">
      <c r="A86" s="836"/>
      <c r="B86" s="844" t="s">
        <v>42</v>
      </c>
      <c r="C86" s="844"/>
      <c r="D86" s="844"/>
      <c r="E86" s="844"/>
      <c r="F86" s="105"/>
      <c r="G86" s="141">
        <v>0</v>
      </c>
      <c r="H86" s="838"/>
      <c r="I86" s="839">
        <f t="shared" si="1"/>
        <v>0</v>
      </c>
      <c r="J86" s="840"/>
      <c r="K86" s="843"/>
    </row>
    <row r="87" spans="1:11" s="109" customFormat="1" ht="12.75">
      <c r="A87" s="836" t="s">
        <v>43</v>
      </c>
      <c r="B87" s="836"/>
      <c r="C87" s="836"/>
      <c r="D87" s="836"/>
      <c r="E87" s="836"/>
      <c r="F87" s="836"/>
      <c r="G87" s="836"/>
      <c r="H87" s="836"/>
      <c r="I87" s="836"/>
      <c r="J87" s="836"/>
      <c r="K87" s="106">
        <f>K81+K78+K77</f>
        <v>748.06589762424255</v>
      </c>
    </row>
    <row r="88" spans="1:11" s="109" customFormat="1" ht="12.75">
      <c r="A88" s="837" t="s">
        <v>44</v>
      </c>
      <c r="B88" s="837"/>
      <c r="C88" s="837"/>
      <c r="D88" s="837"/>
      <c r="E88" s="837"/>
      <c r="F88" s="837"/>
      <c r="G88" s="837"/>
      <c r="H88" s="837"/>
      <c r="I88" s="837"/>
      <c r="J88" s="837"/>
      <c r="K88" s="837"/>
    </row>
    <row r="89" spans="1:11" s="109" customFormat="1" ht="12.75">
      <c r="A89" s="830" t="s">
        <v>45</v>
      </c>
      <c r="B89" s="830"/>
      <c r="C89" s="830"/>
      <c r="D89" s="830"/>
      <c r="E89" s="830"/>
      <c r="F89" s="830"/>
      <c r="G89" s="830"/>
      <c r="H89" s="830"/>
      <c r="I89" s="830"/>
      <c r="J89" s="830"/>
      <c r="K89" s="110">
        <f>K5</f>
        <v>0</v>
      </c>
    </row>
    <row r="90" spans="1:11" s="109" customFormat="1" ht="12.75">
      <c r="A90" s="409" t="s">
        <v>4</v>
      </c>
      <c r="B90" s="829" t="str">
        <f>A7</f>
        <v xml:space="preserve">MÓDULO 01 – Composição da Remuneração </v>
      </c>
      <c r="C90" s="829"/>
      <c r="D90" s="829"/>
      <c r="E90" s="829"/>
      <c r="F90" s="829"/>
      <c r="G90" s="829"/>
      <c r="H90" s="829"/>
      <c r="I90" s="829"/>
      <c r="J90" s="829"/>
      <c r="K90" s="142">
        <f>K11</f>
        <v>50.760363636363643</v>
      </c>
    </row>
    <row r="91" spans="1:11" s="109" customFormat="1" ht="12.75">
      <c r="A91" s="409" t="s">
        <v>6</v>
      </c>
      <c r="B91" s="829" t="str">
        <f>A12</f>
        <v>MÓDULO 2 – ENCARGOS E BENEFÍCIOS ANUAIS, MENSAIS E DIÁRIOS</v>
      </c>
      <c r="C91" s="829"/>
      <c r="D91" s="829"/>
      <c r="E91" s="829"/>
      <c r="F91" s="829"/>
      <c r="G91" s="829"/>
      <c r="H91" s="829"/>
      <c r="I91" s="829"/>
      <c r="J91" s="829"/>
      <c r="K91" s="142">
        <f>K44</f>
        <v>150.9643781818182</v>
      </c>
    </row>
    <row r="92" spans="1:11" s="109" customFormat="1" ht="12.75">
      <c r="A92" s="409" t="s">
        <v>10</v>
      </c>
      <c r="B92" s="829" t="str">
        <f>A45</f>
        <v>MÓDULO 3 – PROVISÃO PARA RESCISÃO</v>
      </c>
      <c r="C92" s="829"/>
      <c r="D92" s="829"/>
      <c r="E92" s="829"/>
      <c r="F92" s="829"/>
      <c r="G92" s="829"/>
      <c r="H92" s="829"/>
      <c r="I92" s="829"/>
      <c r="J92" s="829"/>
      <c r="K92" s="142">
        <f>K51</f>
        <v>3.54</v>
      </c>
    </row>
    <row r="93" spans="1:11" s="109" customFormat="1" ht="12.75">
      <c r="A93" s="409" t="s">
        <v>12</v>
      </c>
      <c r="B93" s="829" t="str">
        <f>A52</f>
        <v>MÓDULO 4 – CUSTO DE REPOSIÇÃO DO PROFISSIONAL AUSENTE</v>
      </c>
      <c r="C93" s="829"/>
      <c r="D93" s="829"/>
      <c r="E93" s="829"/>
      <c r="F93" s="829"/>
      <c r="G93" s="829"/>
      <c r="H93" s="829"/>
      <c r="I93" s="829"/>
      <c r="J93" s="829"/>
      <c r="K93" s="142">
        <f>K62</f>
        <v>6.7999999999999989</v>
      </c>
    </row>
    <row r="94" spans="1:11" s="109" customFormat="1" ht="12.75">
      <c r="A94" s="409" t="s">
        <v>14</v>
      </c>
      <c r="B94" s="829" t="str">
        <f>A71</f>
        <v>MÓDULO 5 – INSUMOS DIVERSOS</v>
      </c>
      <c r="C94" s="829"/>
      <c r="D94" s="829"/>
      <c r="E94" s="829"/>
      <c r="F94" s="829"/>
      <c r="G94" s="829"/>
      <c r="H94" s="829"/>
      <c r="I94" s="829"/>
      <c r="J94" s="829"/>
      <c r="K94" s="142">
        <f>K75</f>
        <v>63.166666666666664</v>
      </c>
    </row>
    <row r="95" spans="1:11" s="109" customFormat="1" ht="12.75">
      <c r="A95" s="830" t="s">
        <v>209</v>
      </c>
      <c r="B95" s="830"/>
      <c r="C95" s="830"/>
      <c r="D95" s="830"/>
      <c r="E95" s="830"/>
      <c r="F95" s="830"/>
      <c r="G95" s="830"/>
      <c r="H95" s="830"/>
      <c r="I95" s="830"/>
      <c r="J95" s="830"/>
      <c r="K95" s="107">
        <f>SUM(K90:K94)</f>
        <v>275.23140848484854</v>
      </c>
    </row>
    <row r="96" spans="1:11" s="109" customFormat="1" ht="12.75">
      <c r="A96" s="409" t="s">
        <v>14</v>
      </c>
      <c r="B96" s="829" t="s">
        <v>46</v>
      </c>
      <c r="C96" s="829"/>
      <c r="D96" s="829"/>
      <c r="E96" s="829"/>
      <c r="F96" s="829"/>
      <c r="G96" s="829"/>
      <c r="H96" s="829"/>
      <c r="I96" s="829"/>
      <c r="J96" s="829"/>
      <c r="K96" s="108">
        <f>K97-K95</f>
        <v>748.05859151515142</v>
      </c>
    </row>
    <row r="97" spans="1:15" s="109" customFormat="1" ht="12.75">
      <c r="A97" s="831" t="s">
        <v>47</v>
      </c>
      <c r="B97" s="831"/>
      <c r="C97" s="831"/>
      <c r="D97" s="831"/>
      <c r="E97" s="831"/>
      <c r="F97" s="831"/>
      <c r="G97" s="831"/>
      <c r="H97" s="831"/>
      <c r="I97" s="831"/>
      <c r="J97" s="831"/>
      <c r="K97" s="143">
        <f>ROUND(I79/(1-$H$81),2)</f>
        <v>1023.29</v>
      </c>
    </row>
    <row r="98" spans="1:15" s="109" customFormat="1" ht="12.75">
      <c r="A98" s="832" t="s">
        <v>214</v>
      </c>
      <c r="B98" s="821"/>
      <c r="C98" s="821"/>
      <c r="D98" s="821"/>
      <c r="E98" s="821"/>
      <c r="F98" s="821"/>
      <c r="G98" s="821"/>
      <c r="H98" s="821"/>
      <c r="I98" s="155"/>
      <c r="J98" s="407">
        <v>1</v>
      </c>
      <c r="K98" s="156">
        <f>K97</f>
        <v>1023.29</v>
      </c>
    </row>
    <row r="99" spans="1:15" s="109" customFormat="1" ht="13.5" thickBot="1">
      <c r="A99" s="905" t="s">
        <v>217</v>
      </c>
      <c r="B99" s="905"/>
      <c r="C99" s="905"/>
      <c r="D99" s="905"/>
      <c r="E99" s="816"/>
      <c r="F99" s="816"/>
      <c r="G99" s="816"/>
      <c r="H99" s="816"/>
      <c r="I99" s="905"/>
      <c r="J99" s="905"/>
      <c r="K99" s="157">
        <f>K98*12</f>
        <v>12279.48</v>
      </c>
    </row>
    <row r="100" spans="1:15" s="109" customFormat="1" ht="13.5" thickBot="1">
      <c r="A100" s="833" t="s">
        <v>529</v>
      </c>
      <c r="B100" s="834"/>
      <c r="C100" s="834"/>
      <c r="D100" s="834"/>
      <c r="E100" s="834"/>
      <c r="F100" s="834"/>
      <c r="G100" s="834"/>
      <c r="H100" s="834"/>
      <c r="I100" s="834"/>
      <c r="J100" s="835"/>
      <c r="K100" s="514">
        <f>(K99/12)</f>
        <v>1023.29</v>
      </c>
    </row>
    <row r="101" spans="1:15" s="109" customFormat="1" ht="15" customHeight="1">
      <c r="G101" s="158"/>
      <c r="H101" s="906" t="s">
        <v>48</v>
      </c>
      <c r="I101" s="907"/>
      <c r="J101" s="907"/>
      <c r="K101" s="819"/>
    </row>
    <row r="102" spans="1:15" s="109" customFormat="1" ht="12.75">
      <c r="G102" s="159"/>
      <c r="H102" s="820" t="s">
        <v>49</v>
      </c>
      <c r="I102" s="821"/>
      <c r="J102" s="822"/>
      <c r="K102" s="160" t="s">
        <v>9</v>
      </c>
    </row>
    <row r="103" spans="1:15" ht="15" customHeight="1">
      <c r="G103" s="161"/>
      <c r="H103" s="162" t="s">
        <v>50</v>
      </c>
      <c r="I103" s="144"/>
      <c r="J103" s="145"/>
      <c r="K103" s="163">
        <f>J77</f>
        <v>0.95</v>
      </c>
      <c r="M103" s="304"/>
      <c r="N103" s="304"/>
      <c r="O103" s="304"/>
    </row>
    <row r="104" spans="1:15" ht="15" customHeight="1">
      <c r="G104" s="161"/>
      <c r="H104" s="823" t="s">
        <v>32</v>
      </c>
      <c r="I104" s="824"/>
      <c r="J104" s="825"/>
      <c r="K104" s="163">
        <f>J78</f>
        <v>0.85</v>
      </c>
      <c r="M104" s="304"/>
      <c r="N104" s="304"/>
      <c r="O104" s="304"/>
    </row>
    <row r="105" spans="1:15" ht="15" customHeight="1">
      <c r="G105" s="161"/>
      <c r="H105" s="162" t="s">
        <v>51</v>
      </c>
      <c r="I105" s="144"/>
      <c r="J105" s="145"/>
      <c r="K105" s="163">
        <f>H81</f>
        <v>2.9699999999999997E-2</v>
      </c>
      <c r="M105" s="304"/>
      <c r="N105" s="304"/>
      <c r="O105" s="304"/>
    </row>
    <row r="106" spans="1:15" ht="15.75" customHeight="1" thickBot="1">
      <c r="G106" s="161"/>
      <c r="H106" s="826" t="s">
        <v>52</v>
      </c>
      <c r="I106" s="827"/>
      <c r="J106" s="828"/>
      <c r="K106" s="164">
        <f>(1+K103)*(1+K104)/(1-K105)-1</f>
        <v>2.7179222920746158</v>
      </c>
      <c r="M106" s="304"/>
      <c r="N106" s="304"/>
      <c r="O106" s="304"/>
    </row>
    <row r="107" spans="1:15" ht="20.25" customHeight="1">
      <c r="G107" s="161"/>
      <c r="H107" s="165"/>
      <c r="I107" s="165"/>
      <c r="J107" s="165"/>
      <c r="K107" s="166"/>
      <c r="M107" s="304"/>
      <c r="N107" s="304"/>
      <c r="O107" s="304"/>
    </row>
    <row r="108" spans="1:15" ht="15" customHeight="1">
      <c r="G108" s="161"/>
      <c r="H108" s="165"/>
      <c r="I108" s="165"/>
      <c r="J108" s="165"/>
      <c r="K108" s="166"/>
      <c r="M108" s="304"/>
      <c r="N108" s="304"/>
      <c r="O108" s="304"/>
    </row>
    <row r="109" spans="1:15" ht="15" customHeight="1">
      <c r="G109" s="161"/>
      <c r="H109" s="165"/>
      <c r="I109" s="165"/>
      <c r="J109" s="165"/>
      <c r="K109" s="166"/>
      <c r="M109" s="304"/>
      <c r="N109" s="304"/>
      <c r="O109" s="304"/>
    </row>
    <row r="110" spans="1:15" ht="15" customHeight="1">
      <c r="G110" s="161"/>
      <c r="M110" s="304"/>
      <c r="N110" s="304"/>
      <c r="O110" s="304"/>
    </row>
    <row r="111" spans="1:15">
      <c r="A111" s="325"/>
    </row>
    <row r="112" spans="1:15">
      <c r="B112" s="323"/>
    </row>
    <row r="114" spans="1:11" s="109" customFormat="1" ht="12.75">
      <c r="A114" s="116"/>
      <c r="H114" s="146"/>
      <c r="I114" s="147"/>
      <c r="K114" s="116"/>
    </row>
    <row r="115" spans="1:11" s="109" customFormat="1">
      <c r="B115" s="323"/>
      <c r="H115" s="146"/>
      <c r="I115" s="147"/>
      <c r="K115" s="116"/>
    </row>
    <row r="116" spans="1:11" s="109" customFormat="1">
      <c r="B116" s="323"/>
      <c r="H116" s="146"/>
      <c r="I116" s="147"/>
      <c r="K116" s="116"/>
    </row>
  </sheetData>
  <mergeCells count="116">
    <mergeCell ref="A1:K1"/>
    <mergeCell ref="A2:K2"/>
    <mergeCell ref="A3:K3"/>
    <mergeCell ref="A5:H5"/>
    <mergeCell ref="I5:K6"/>
    <mergeCell ref="A6:G6"/>
    <mergeCell ref="B14:I14"/>
    <mergeCell ref="B15:I15"/>
    <mergeCell ref="A18:I18"/>
    <mergeCell ref="A19:I19"/>
    <mergeCell ref="B20:I20"/>
    <mergeCell ref="B21:I21"/>
    <mergeCell ref="A7:J7"/>
    <mergeCell ref="B8:J8"/>
    <mergeCell ref="B10:J10"/>
    <mergeCell ref="A11:J11"/>
    <mergeCell ref="A12:J12"/>
    <mergeCell ref="A13:I13"/>
    <mergeCell ref="B26:E26"/>
    <mergeCell ref="B27:I27"/>
    <mergeCell ref="A28:I28"/>
    <mergeCell ref="A29:H29"/>
    <mergeCell ref="B32:G32"/>
    <mergeCell ref="B33:I33"/>
    <mergeCell ref="B22:I22"/>
    <mergeCell ref="B23:I23"/>
    <mergeCell ref="B24:I24"/>
    <mergeCell ref="B25:C25"/>
    <mergeCell ref="D25:E25"/>
    <mergeCell ref="F25:I25"/>
    <mergeCell ref="A40:J40"/>
    <mergeCell ref="B41:I41"/>
    <mergeCell ref="B42:I42"/>
    <mergeCell ref="B43:I43"/>
    <mergeCell ref="A44:I44"/>
    <mergeCell ref="A45:I45"/>
    <mergeCell ref="B34:I34"/>
    <mergeCell ref="B35:I35"/>
    <mergeCell ref="B36:I36"/>
    <mergeCell ref="B37:I37"/>
    <mergeCell ref="B38:J38"/>
    <mergeCell ref="A39:I39"/>
    <mergeCell ref="A51:I51"/>
    <mergeCell ref="A52:I52"/>
    <mergeCell ref="A53:I53"/>
    <mergeCell ref="B54:I54"/>
    <mergeCell ref="B55:E55"/>
    <mergeCell ref="F55:H55"/>
    <mergeCell ref="B46:G46"/>
    <mergeCell ref="B47:G47"/>
    <mergeCell ref="H47:I47"/>
    <mergeCell ref="B48:G48"/>
    <mergeCell ref="H48:I48"/>
    <mergeCell ref="B49:G49"/>
    <mergeCell ref="H49:I49"/>
    <mergeCell ref="B59:I59"/>
    <mergeCell ref="A60:I60"/>
    <mergeCell ref="A62:I62"/>
    <mergeCell ref="A63:I63"/>
    <mergeCell ref="B64:I64"/>
    <mergeCell ref="A65:I65"/>
    <mergeCell ref="B56:E56"/>
    <mergeCell ref="F56:G56"/>
    <mergeCell ref="B57:D57"/>
    <mergeCell ref="F57:G57"/>
    <mergeCell ref="B58:D58"/>
    <mergeCell ref="F58:G58"/>
    <mergeCell ref="B72:J72"/>
    <mergeCell ref="A75:I75"/>
    <mergeCell ref="A76:I76"/>
    <mergeCell ref="B77:I77"/>
    <mergeCell ref="A66:J66"/>
    <mergeCell ref="B67:I67"/>
    <mergeCell ref="B68:I68"/>
    <mergeCell ref="A69:I69"/>
    <mergeCell ref="A70:K70"/>
    <mergeCell ref="A71:I71"/>
    <mergeCell ref="B73:H73"/>
    <mergeCell ref="I73:J73"/>
    <mergeCell ref="B74:H74"/>
    <mergeCell ref="I74:J74"/>
    <mergeCell ref="B78:I78"/>
    <mergeCell ref="A79:A86"/>
    <mergeCell ref="B79:H79"/>
    <mergeCell ref="I79:J79"/>
    <mergeCell ref="B80:E80"/>
    <mergeCell ref="I80:J80"/>
    <mergeCell ref="B81:E83"/>
    <mergeCell ref="H81:H86"/>
    <mergeCell ref="I81:J81"/>
    <mergeCell ref="A87:J87"/>
    <mergeCell ref="A88:K88"/>
    <mergeCell ref="A89:J89"/>
    <mergeCell ref="B90:J90"/>
    <mergeCell ref="B91:J91"/>
    <mergeCell ref="B92:J92"/>
    <mergeCell ref="K81:K86"/>
    <mergeCell ref="I82:J82"/>
    <mergeCell ref="I83:J83"/>
    <mergeCell ref="B84:E85"/>
    <mergeCell ref="I84:J84"/>
    <mergeCell ref="I85:J85"/>
    <mergeCell ref="B86:E86"/>
    <mergeCell ref="I86:J86"/>
    <mergeCell ref="A99:J99"/>
    <mergeCell ref="A100:J100"/>
    <mergeCell ref="H101:K101"/>
    <mergeCell ref="H102:J102"/>
    <mergeCell ref="H104:J104"/>
    <mergeCell ref="H106:J106"/>
    <mergeCell ref="B93:J93"/>
    <mergeCell ref="B94:J94"/>
    <mergeCell ref="A95:J95"/>
    <mergeCell ref="B96:J96"/>
    <mergeCell ref="A97:J97"/>
    <mergeCell ref="A98:H98"/>
  </mergeCells>
  <pageMargins left="1.1023622047244095" right="0.11811023622047245" top="0.19685039370078741" bottom="0.19685039370078741" header="0.11811023622047245" footer="0"/>
  <pageSetup paperSize="9" scale="47" orientation="portrait" r:id="rId1"/>
  <rowBreaks count="1" manualBreakCount="1">
    <brk id="65" max="16" man="1"/>
  </rowBreaks>
  <colBreaks count="1" manualBreakCount="1">
    <brk id="11" max="101"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2"/>
  <sheetViews>
    <sheetView workbookViewId="0">
      <selection activeCell="B10" sqref="B10"/>
    </sheetView>
  </sheetViews>
  <sheetFormatPr defaultRowHeight="15"/>
  <cols>
    <col min="1" max="1" width="10.140625" customWidth="1"/>
    <col min="2" max="2" width="30.28515625" customWidth="1"/>
    <col min="3" max="3" width="11.42578125" customWidth="1"/>
    <col min="4" max="4" width="11.7109375" customWidth="1"/>
    <col min="5" max="7" width="18.5703125" customWidth="1"/>
  </cols>
  <sheetData>
    <row r="1" spans="1:6" ht="15" customHeight="1" thickBot="1">
      <c r="A1" s="933" t="s">
        <v>524</v>
      </c>
      <c r="B1" s="934"/>
      <c r="C1" s="934"/>
      <c r="D1" s="934"/>
      <c r="E1" s="934"/>
      <c r="F1" s="935"/>
    </row>
    <row r="2" spans="1:6" ht="25.5" customHeight="1">
      <c r="A2" s="506" t="s">
        <v>513</v>
      </c>
      <c r="B2" s="506" t="s">
        <v>464</v>
      </c>
      <c r="C2" s="506" t="s">
        <v>400</v>
      </c>
      <c r="D2" s="506" t="s">
        <v>465</v>
      </c>
      <c r="E2" s="507" t="s">
        <v>404</v>
      </c>
      <c r="F2" s="507" t="s">
        <v>466</v>
      </c>
    </row>
    <row r="3" spans="1:6" ht="46.5" customHeight="1">
      <c r="A3" s="508">
        <v>1</v>
      </c>
      <c r="B3" s="508" t="s">
        <v>514</v>
      </c>
      <c r="C3" s="508" t="s">
        <v>467</v>
      </c>
      <c r="D3" s="508">
        <v>4</v>
      </c>
      <c r="E3" s="509">
        <v>20</v>
      </c>
      <c r="F3" s="509">
        <f>(D3*E3)</f>
        <v>80</v>
      </c>
    </row>
    <row r="4" spans="1:6" ht="43.5" customHeight="1">
      <c r="A4" s="508">
        <v>2</v>
      </c>
      <c r="B4" s="508" t="s">
        <v>468</v>
      </c>
      <c r="C4" s="508" t="s">
        <v>467</v>
      </c>
      <c r="D4" s="508">
        <v>8</v>
      </c>
      <c r="E4" s="509">
        <v>12</v>
      </c>
      <c r="F4" s="509">
        <f t="shared" ref="F4:F7" si="0">(D4*E4)</f>
        <v>96</v>
      </c>
    </row>
    <row r="5" spans="1:6" ht="35.25" customHeight="1">
      <c r="A5" s="508">
        <v>3</v>
      </c>
      <c r="B5" s="508" t="s">
        <v>471</v>
      </c>
      <c r="C5" s="508" t="s">
        <v>467</v>
      </c>
      <c r="D5" s="508">
        <v>2</v>
      </c>
      <c r="E5" s="509">
        <v>25</v>
      </c>
      <c r="F5" s="509">
        <f t="shared" si="0"/>
        <v>50</v>
      </c>
    </row>
    <row r="6" spans="1:6" ht="33.75" customHeight="1">
      <c r="A6" s="508">
        <v>4</v>
      </c>
      <c r="B6" s="508" t="s">
        <v>515</v>
      </c>
      <c r="C6" s="508" t="s">
        <v>467</v>
      </c>
      <c r="D6" s="508">
        <v>2</v>
      </c>
      <c r="E6" s="509">
        <v>25</v>
      </c>
      <c r="F6" s="509">
        <f t="shared" si="0"/>
        <v>50</v>
      </c>
    </row>
    <row r="7" spans="1:6" ht="22.5" customHeight="1" thickBot="1">
      <c r="A7" s="508">
        <v>5</v>
      </c>
      <c r="B7" s="508" t="s">
        <v>516</v>
      </c>
      <c r="C7" s="508" t="s">
        <v>467</v>
      </c>
      <c r="D7" s="508">
        <v>1</v>
      </c>
      <c r="E7" s="509">
        <v>2</v>
      </c>
      <c r="F7" s="509">
        <f t="shared" si="0"/>
        <v>2</v>
      </c>
    </row>
    <row r="8" spans="1:6" ht="15.75" customHeight="1" thickBot="1">
      <c r="A8" s="933" t="s">
        <v>525</v>
      </c>
      <c r="B8" s="934"/>
      <c r="C8" s="934"/>
      <c r="D8" s="934"/>
      <c r="E8" s="934"/>
      <c r="F8" s="935"/>
    </row>
    <row r="9" spans="1:6" s="304" customFormat="1" ht="25.5" customHeight="1">
      <c r="A9" s="506" t="s">
        <v>513</v>
      </c>
      <c r="B9" s="506" t="s">
        <v>464</v>
      </c>
      <c r="C9" s="506" t="s">
        <v>400</v>
      </c>
      <c r="D9" s="506" t="s">
        <v>465</v>
      </c>
      <c r="E9" s="507" t="s">
        <v>404</v>
      </c>
      <c r="F9" s="507" t="s">
        <v>466</v>
      </c>
    </row>
    <row r="10" spans="1:6" ht="139.5" customHeight="1">
      <c r="A10" s="508">
        <v>1</v>
      </c>
      <c r="B10" s="510" t="s">
        <v>469</v>
      </c>
      <c r="C10" s="508" t="s">
        <v>418</v>
      </c>
      <c r="D10" s="508">
        <v>2</v>
      </c>
      <c r="E10" s="509">
        <v>20</v>
      </c>
      <c r="F10" s="509">
        <f>(D10*E10)</f>
        <v>40</v>
      </c>
    </row>
    <row r="11" spans="1:6" ht="38.25" customHeight="1">
      <c r="A11" s="508">
        <v>2</v>
      </c>
      <c r="B11" s="510" t="s">
        <v>470</v>
      </c>
      <c r="C11" s="508" t="s">
        <v>518</v>
      </c>
      <c r="D11" s="508">
        <v>2</v>
      </c>
      <c r="E11" s="509">
        <v>25</v>
      </c>
      <c r="F11" s="509">
        <f t="shared" ref="F11:F14" si="1">(D11*E11)</f>
        <v>50</v>
      </c>
    </row>
    <row r="12" spans="1:6" ht="79.5" customHeight="1">
      <c r="A12" s="508">
        <v>3</v>
      </c>
      <c r="B12" s="510" t="s">
        <v>527</v>
      </c>
      <c r="C12" s="508" t="s">
        <v>518</v>
      </c>
      <c r="D12" s="508">
        <v>24</v>
      </c>
      <c r="E12" s="509">
        <v>10</v>
      </c>
      <c r="F12" s="509">
        <f t="shared" si="1"/>
        <v>240</v>
      </c>
    </row>
    <row r="13" spans="1:6" ht="33.75" customHeight="1">
      <c r="A13" s="508">
        <v>4</v>
      </c>
      <c r="B13" s="510" t="s">
        <v>519</v>
      </c>
      <c r="C13" s="508" t="s">
        <v>400</v>
      </c>
      <c r="D13" s="508">
        <v>1</v>
      </c>
      <c r="E13" s="509">
        <v>10</v>
      </c>
      <c r="F13" s="509">
        <f t="shared" si="1"/>
        <v>10</v>
      </c>
    </row>
    <row r="14" spans="1:6" ht="34.5" customHeight="1" thickBot="1">
      <c r="A14" s="511">
        <v>5</v>
      </c>
      <c r="B14" s="511" t="s">
        <v>520</v>
      </c>
      <c r="C14" s="511" t="s">
        <v>467</v>
      </c>
      <c r="D14" s="511">
        <v>2</v>
      </c>
      <c r="E14" s="512">
        <v>8</v>
      </c>
      <c r="F14" s="509">
        <f t="shared" si="1"/>
        <v>16</v>
      </c>
    </row>
    <row r="15" spans="1:6" ht="21" customHeight="1" thickBot="1">
      <c r="A15" s="936" t="s">
        <v>475</v>
      </c>
      <c r="B15" s="937"/>
      <c r="C15" s="937"/>
      <c r="D15" s="937"/>
      <c r="E15" s="937"/>
      <c r="F15" s="418">
        <f>SUM(F3:F14)</f>
        <v>634</v>
      </c>
    </row>
    <row r="16" spans="1:6" ht="15" customHeight="1" thickBot="1">
      <c r="A16" s="936" t="s">
        <v>473</v>
      </c>
      <c r="B16" s="937"/>
      <c r="C16" s="937"/>
      <c r="D16" s="937"/>
      <c r="E16" s="937"/>
      <c r="F16" s="418">
        <f>F15/12</f>
        <v>52.833333333333336</v>
      </c>
    </row>
    <row r="17" ht="15" customHeight="1"/>
    <row r="18" ht="237.75" customHeight="1"/>
    <row r="19" ht="40.5" customHeight="1"/>
    <row r="20" ht="19.5" customHeight="1"/>
    <row r="23" ht="28.5" customHeight="1"/>
    <row r="25" ht="6" customHeight="1"/>
    <row r="27" ht="9" customHeight="1"/>
    <row r="28" ht="122.25" customHeight="1"/>
    <row r="30" ht="71.25" customHeight="1"/>
    <row r="31" ht="77.25" customHeight="1"/>
    <row r="32" ht="150" customHeight="1"/>
  </sheetData>
  <mergeCells count="4">
    <mergeCell ref="A1:F1"/>
    <mergeCell ref="A8:F8"/>
    <mergeCell ref="A15:E15"/>
    <mergeCell ref="A16:E16"/>
  </mergeCells>
  <pageMargins left="0.511811024" right="0.511811024" top="0.78740157499999996" bottom="0.78740157499999996" header="0.31496062000000002" footer="0.3149606200000000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36"/>
  <sheetViews>
    <sheetView workbookViewId="0">
      <selection activeCell="B14" sqref="B14"/>
    </sheetView>
  </sheetViews>
  <sheetFormatPr defaultRowHeight="15"/>
  <cols>
    <col min="1" max="1" width="9.140625" customWidth="1"/>
    <col min="2" max="2" width="39" customWidth="1"/>
    <col min="3" max="4" width="13" customWidth="1"/>
    <col min="5" max="6" width="18.5703125" style="304" customWidth="1"/>
  </cols>
  <sheetData>
    <row r="1" spans="1:6" ht="15.75" customHeight="1" thickBot="1">
      <c r="A1" s="938" t="s">
        <v>526</v>
      </c>
      <c r="B1" s="939"/>
      <c r="C1" s="939"/>
      <c r="D1" s="939"/>
      <c r="E1" s="939"/>
      <c r="F1" s="940"/>
    </row>
    <row r="2" spans="1:6" ht="22.5">
      <c r="A2" s="506" t="s">
        <v>513</v>
      </c>
      <c r="B2" s="506" t="s">
        <v>464</v>
      </c>
      <c r="C2" s="506" t="s">
        <v>400</v>
      </c>
      <c r="D2" s="506" t="s">
        <v>465</v>
      </c>
      <c r="E2" s="507" t="s">
        <v>404</v>
      </c>
      <c r="F2" s="507" t="s">
        <v>466</v>
      </c>
    </row>
    <row r="3" spans="1:6" ht="44.25" customHeight="1">
      <c r="A3" s="508">
        <v>1</v>
      </c>
      <c r="B3" s="508" t="s">
        <v>474</v>
      </c>
      <c r="C3" s="508" t="s">
        <v>467</v>
      </c>
      <c r="D3" s="508">
        <v>3</v>
      </c>
      <c r="E3" s="509">
        <v>20</v>
      </c>
      <c r="F3" s="509">
        <f>(D3*E3)</f>
        <v>60</v>
      </c>
    </row>
    <row r="4" spans="1:6" ht="42.75" customHeight="1">
      <c r="A4" s="508">
        <v>2</v>
      </c>
      <c r="B4" s="508" t="s">
        <v>468</v>
      </c>
      <c r="C4" s="508" t="s">
        <v>467</v>
      </c>
      <c r="D4" s="508">
        <v>5</v>
      </c>
      <c r="E4" s="509">
        <v>12</v>
      </c>
      <c r="F4" s="509">
        <f t="shared" ref="F4:F7" si="0">(D4*E4)</f>
        <v>60</v>
      </c>
    </row>
    <row r="5" spans="1:6" ht="18" customHeight="1">
      <c r="A5" s="508">
        <v>3</v>
      </c>
      <c r="B5" s="508" t="s">
        <v>521</v>
      </c>
      <c r="C5" s="508" t="s">
        <v>467</v>
      </c>
      <c r="D5" s="508">
        <v>1</v>
      </c>
      <c r="E5" s="509">
        <v>25</v>
      </c>
      <c r="F5" s="509">
        <f t="shared" si="0"/>
        <v>25</v>
      </c>
    </row>
    <row r="6" spans="1:6" ht="28.5" customHeight="1">
      <c r="A6" s="508">
        <v>4</v>
      </c>
      <c r="B6" s="508" t="s">
        <v>471</v>
      </c>
      <c r="C6" s="508" t="s">
        <v>467</v>
      </c>
      <c r="D6" s="508">
        <v>1</v>
      </c>
      <c r="E6" s="509">
        <v>25</v>
      </c>
      <c r="F6" s="509">
        <f t="shared" si="0"/>
        <v>25</v>
      </c>
    </row>
    <row r="7" spans="1:6" ht="19.5" customHeight="1" thickBot="1">
      <c r="A7" s="511"/>
      <c r="B7" s="511" t="s">
        <v>516</v>
      </c>
      <c r="C7" s="511" t="s">
        <v>467</v>
      </c>
      <c r="D7" s="511">
        <v>1</v>
      </c>
      <c r="E7" s="512">
        <v>2</v>
      </c>
      <c r="F7" s="509">
        <f t="shared" si="0"/>
        <v>2</v>
      </c>
    </row>
    <row r="8" spans="1:6" ht="15" customHeight="1" thickBot="1">
      <c r="A8" s="933" t="s">
        <v>517</v>
      </c>
      <c r="B8" s="934"/>
      <c r="C8" s="934"/>
      <c r="D8" s="934"/>
      <c r="E8" s="934"/>
      <c r="F8" s="935"/>
    </row>
    <row r="9" spans="1:6" s="304" customFormat="1" ht="22.5">
      <c r="A9" s="506" t="s">
        <v>513</v>
      </c>
      <c r="B9" s="506" t="s">
        <v>464</v>
      </c>
      <c r="C9" s="506" t="s">
        <v>400</v>
      </c>
      <c r="D9" s="506" t="s">
        <v>465</v>
      </c>
      <c r="E9" s="507" t="s">
        <v>404</v>
      </c>
      <c r="F9" s="507" t="s">
        <v>466</v>
      </c>
    </row>
    <row r="10" spans="1:6" ht="105" customHeight="1">
      <c r="A10" s="508">
        <v>1</v>
      </c>
      <c r="B10" s="510" t="s">
        <v>469</v>
      </c>
      <c r="C10" s="508" t="s">
        <v>418</v>
      </c>
      <c r="D10" s="508">
        <v>2</v>
      </c>
      <c r="E10" s="509">
        <v>20</v>
      </c>
      <c r="F10" s="509">
        <f>(D10*E10)</f>
        <v>40</v>
      </c>
    </row>
    <row r="11" spans="1:6" ht="21.75" customHeight="1">
      <c r="A11" s="508">
        <v>2</v>
      </c>
      <c r="B11" s="510" t="s">
        <v>470</v>
      </c>
      <c r="C11" s="508" t="s">
        <v>518</v>
      </c>
      <c r="D11" s="508">
        <v>2</v>
      </c>
      <c r="E11" s="509">
        <v>25</v>
      </c>
      <c r="F11" s="509">
        <f t="shared" ref="F11:F16" si="1">(D11*E11)</f>
        <v>50</v>
      </c>
    </row>
    <row r="12" spans="1:6" ht="69" customHeight="1">
      <c r="A12" s="508">
        <v>3</v>
      </c>
      <c r="B12" s="510" t="s">
        <v>528</v>
      </c>
      <c r="C12" s="508" t="s">
        <v>518</v>
      </c>
      <c r="D12" s="508">
        <v>24</v>
      </c>
      <c r="E12" s="509">
        <v>10</v>
      </c>
      <c r="F12" s="509">
        <f t="shared" si="1"/>
        <v>240</v>
      </c>
    </row>
    <row r="13" spans="1:6" ht="75" customHeight="1">
      <c r="A13" s="508">
        <v>4</v>
      </c>
      <c r="B13" s="510" t="s">
        <v>522</v>
      </c>
      <c r="C13" s="508" t="s">
        <v>518</v>
      </c>
      <c r="D13" s="508">
        <v>6</v>
      </c>
      <c r="E13" s="570">
        <v>25</v>
      </c>
      <c r="F13" s="509">
        <f t="shared" si="1"/>
        <v>150</v>
      </c>
    </row>
    <row r="14" spans="1:6" ht="122.25" customHeight="1">
      <c r="A14" s="508">
        <v>5</v>
      </c>
      <c r="B14" s="510" t="s">
        <v>523</v>
      </c>
      <c r="C14" s="508" t="s">
        <v>467</v>
      </c>
      <c r="D14" s="508">
        <v>2</v>
      </c>
      <c r="E14" s="570">
        <v>40</v>
      </c>
      <c r="F14" s="509">
        <f t="shared" si="1"/>
        <v>80</v>
      </c>
    </row>
    <row r="15" spans="1:6" ht="29.25" customHeight="1">
      <c r="A15" s="508">
        <v>6</v>
      </c>
      <c r="B15" s="510" t="s">
        <v>519</v>
      </c>
      <c r="C15" s="508" t="s">
        <v>400</v>
      </c>
      <c r="D15" s="508">
        <v>1</v>
      </c>
      <c r="E15" s="570">
        <v>10</v>
      </c>
      <c r="F15" s="509">
        <f t="shared" si="1"/>
        <v>10</v>
      </c>
    </row>
    <row r="16" spans="1:6" ht="18" customHeight="1" thickBot="1">
      <c r="A16" s="511">
        <v>7</v>
      </c>
      <c r="B16" s="511" t="s">
        <v>520</v>
      </c>
      <c r="C16" s="511" t="s">
        <v>467</v>
      </c>
      <c r="D16" s="511">
        <v>2</v>
      </c>
      <c r="E16" s="571">
        <v>8</v>
      </c>
      <c r="F16" s="509">
        <f t="shared" si="1"/>
        <v>16</v>
      </c>
    </row>
    <row r="17" spans="1:6" ht="15.75" customHeight="1" thickBot="1">
      <c r="A17" s="936" t="s">
        <v>475</v>
      </c>
      <c r="B17" s="937"/>
      <c r="C17" s="937"/>
      <c r="D17" s="937"/>
      <c r="E17" s="941"/>
      <c r="F17" s="417">
        <f>SUM(F3:F16)</f>
        <v>758</v>
      </c>
    </row>
    <row r="18" spans="1:6" ht="15.75" customHeight="1" thickBot="1">
      <c r="A18" s="936" t="s">
        <v>473</v>
      </c>
      <c r="B18" s="937"/>
      <c r="C18" s="937"/>
      <c r="D18" s="937"/>
      <c r="E18" s="941"/>
      <c r="F18" s="418">
        <f>F17/12</f>
        <v>63.166666666666664</v>
      </c>
    </row>
    <row r="31" spans="1:6">
      <c r="D31" s="282"/>
      <c r="E31" s="282"/>
      <c r="F31" s="282"/>
    </row>
    <row r="32" spans="1:6">
      <c r="D32" s="282"/>
      <c r="E32" s="282"/>
      <c r="F32" s="282"/>
    </row>
    <row r="33" spans="4:6">
      <c r="D33" s="282"/>
      <c r="E33" s="513"/>
      <c r="F33" s="282"/>
    </row>
    <row r="34" spans="4:6">
      <c r="D34" s="282"/>
      <c r="E34" s="513"/>
      <c r="F34" s="282"/>
    </row>
    <row r="35" spans="4:6">
      <c r="D35" s="282"/>
      <c r="E35" s="282"/>
      <c r="F35" s="282"/>
    </row>
    <row r="36" spans="4:6">
      <c r="D36" s="282"/>
      <c r="E36" s="282"/>
      <c r="F36" s="282"/>
    </row>
  </sheetData>
  <mergeCells count="4">
    <mergeCell ref="A1:F1"/>
    <mergeCell ref="A8:F8"/>
    <mergeCell ref="A17:E17"/>
    <mergeCell ref="A18:E18"/>
  </mergeCells>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T51"/>
  <sheetViews>
    <sheetView zoomScaleNormal="100" workbookViewId="0">
      <pane ySplit="1" topLeftCell="A44" activePane="bottomLeft" state="frozen"/>
      <selection activeCell="B1" sqref="B1"/>
      <selection pane="bottomLeft" activeCell="A2" sqref="A2:A31"/>
    </sheetView>
  </sheetViews>
  <sheetFormatPr defaultRowHeight="15"/>
  <cols>
    <col min="2" max="2" width="4.42578125" customWidth="1"/>
    <col min="3" max="4" width="15.42578125" customWidth="1"/>
    <col min="6" max="6" width="10" bestFit="1" customWidth="1"/>
    <col min="7" max="7" width="9.85546875" bestFit="1" customWidth="1"/>
    <col min="8" max="8" width="12" customWidth="1"/>
    <col min="9" max="9" width="12.28515625" customWidth="1"/>
    <col min="12" max="12" width="11.42578125" bestFit="1" customWidth="1"/>
    <col min="13" max="13" width="11.7109375" customWidth="1"/>
    <col min="15" max="16" width="12.5703125" customWidth="1"/>
    <col min="17" max="19" width="9.85546875" bestFit="1" customWidth="1"/>
    <col min="20" max="20" width="11.42578125" customWidth="1"/>
  </cols>
  <sheetData>
    <row r="1" spans="1:20" s="304" customFormat="1" ht="54.75" customHeight="1">
      <c r="A1" s="951" t="s">
        <v>512</v>
      </c>
      <c r="B1" s="951"/>
      <c r="C1" s="951"/>
      <c r="D1" s="951"/>
      <c r="E1" s="952"/>
      <c r="F1" s="449" t="s">
        <v>494</v>
      </c>
      <c r="G1" s="450" t="s">
        <v>495</v>
      </c>
      <c r="H1" s="451" t="s">
        <v>496</v>
      </c>
      <c r="I1" s="452" t="s">
        <v>497</v>
      </c>
      <c r="J1" s="453" t="s">
        <v>498</v>
      </c>
      <c r="K1" s="454" t="s">
        <v>499</v>
      </c>
      <c r="L1" s="455" t="s">
        <v>500</v>
      </c>
      <c r="M1" s="456" t="s">
        <v>501</v>
      </c>
      <c r="N1" s="457" t="s">
        <v>502</v>
      </c>
      <c r="O1" s="458" t="s">
        <v>503</v>
      </c>
      <c r="P1" s="459" t="s">
        <v>504</v>
      </c>
      <c r="Q1" s="460" t="s">
        <v>505</v>
      </c>
      <c r="R1" s="461" t="s">
        <v>506</v>
      </c>
      <c r="S1" s="462" t="s">
        <v>507</v>
      </c>
      <c r="T1" s="463" t="s">
        <v>508</v>
      </c>
    </row>
    <row r="2" spans="1:20" ht="54.75" customHeight="1">
      <c r="A2" s="948" t="s">
        <v>395</v>
      </c>
      <c r="B2" s="419">
        <v>57</v>
      </c>
      <c r="C2" s="959" t="s">
        <v>476</v>
      </c>
      <c r="D2" s="960"/>
      <c r="E2" s="419" t="s">
        <v>400</v>
      </c>
      <c r="F2" s="422">
        <v>1</v>
      </c>
      <c r="G2" s="423" t="s">
        <v>493</v>
      </c>
      <c r="H2" s="424">
        <v>1</v>
      </c>
      <c r="I2" s="425">
        <v>1</v>
      </c>
      <c r="J2" s="426" t="s">
        <v>493</v>
      </c>
      <c r="K2" s="427" t="s">
        <v>493</v>
      </c>
      <c r="L2" s="420">
        <v>1</v>
      </c>
      <c r="M2" s="428">
        <v>1</v>
      </c>
      <c r="N2" s="429" t="s">
        <v>493</v>
      </c>
      <c r="O2" s="430">
        <v>1</v>
      </c>
      <c r="P2" s="431">
        <v>1</v>
      </c>
      <c r="Q2" s="432" t="s">
        <v>493</v>
      </c>
      <c r="R2" s="433" t="s">
        <v>493</v>
      </c>
      <c r="S2" s="434" t="s">
        <v>493</v>
      </c>
      <c r="T2" s="435" t="s">
        <v>493</v>
      </c>
    </row>
    <row r="3" spans="1:20" s="304" customFormat="1" ht="15" customHeight="1">
      <c r="A3" s="949"/>
      <c r="B3" s="953" t="s">
        <v>509</v>
      </c>
      <c r="C3" s="954"/>
      <c r="D3" s="954"/>
      <c r="E3" s="955"/>
      <c r="F3" s="465">
        <v>220</v>
      </c>
      <c r="G3" s="466"/>
      <c r="H3" s="467">
        <v>220</v>
      </c>
      <c r="I3" s="468">
        <v>220</v>
      </c>
      <c r="J3" s="469"/>
      <c r="K3" s="470"/>
      <c r="L3" s="471">
        <v>220</v>
      </c>
      <c r="M3" s="472">
        <v>220</v>
      </c>
      <c r="N3" s="473"/>
      <c r="O3" s="474">
        <v>220</v>
      </c>
      <c r="P3" s="475">
        <v>220</v>
      </c>
      <c r="Q3" s="476"/>
      <c r="R3" s="477"/>
      <c r="S3" s="478"/>
      <c r="T3" s="479"/>
    </row>
    <row r="4" spans="1:20" s="304" customFormat="1" ht="15.75" customHeight="1">
      <c r="A4" s="949"/>
      <c r="B4" s="953" t="s">
        <v>510</v>
      </c>
      <c r="C4" s="954"/>
      <c r="D4" s="954"/>
      <c r="E4" s="955"/>
      <c r="F4" s="465">
        <f>(F2*F3)</f>
        <v>220</v>
      </c>
      <c r="G4" s="498"/>
      <c r="H4" s="492">
        <f>(H2*H3)</f>
        <v>220</v>
      </c>
      <c r="I4" s="493">
        <f>(I2*I3)</f>
        <v>220</v>
      </c>
      <c r="J4" s="499"/>
      <c r="K4" s="500"/>
      <c r="L4" s="494">
        <f>(L2*L3)</f>
        <v>220</v>
      </c>
      <c r="M4" s="495">
        <f>(M2*M3)</f>
        <v>220</v>
      </c>
      <c r="N4" s="501"/>
      <c r="O4" s="496">
        <f>(O2*O3)</f>
        <v>220</v>
      </c>
      <c r="P4" s="497">
        <f>(P2*P3)</f>
        <v>220</v>
      </c>
      <c r="Q4" s="502"/>
      <c r="R4" s="503"/>
      <c r="S4" s="504"/>
      <c r="T4" s="505"/>
    </row>
    <row r="5" spans="1:20" ht="79.5" customHeight="1">
      <c r="A5" s="949"/>
      <c r="B5" s="419">
        <v>58</v>
      </c>
      <c r="C5" s="959" t="s">
        <v>477</v>
      </c>
      <c r="D5" s="960"/>
      <c r="E5" s="419" t="s">
        <v>400</v>
      </c>
      <c r="F5" s="436" t="s">
        <v>493</v>
      </c>
      <c r="G5" s="423" t="s">
        <v>493</v>
      </c>
      <c r="H5" s="424">
        <v>1</v>
      </c>
      <c r="I5" s="437" t="s">
        <v>493</v>
      </c>
      <c r="J5" s="426" t="s">
        <v>493</v>
      </c>
      <c r="K5" s="427" t="s">
        <v>493</v>
      </c>
      <c r="L5" s="420">
        <v>1</v>
      </c>
      <c r="M5" s="438" t="s">
        <v>493</v>
      </c>
      <c r="N5" s="429" t="s">
        <v>493</v>
      </c>
      <c r="O5" s="430">
        <v>1</v>
      </c>
      <c r="P5" s="439" t="s">
        <v>493</v>
      </c>
      <c r="Q5" s="432" t="s">
        <v>493</v>
      </c>
      <c r="R5" s="433" t="s">
        <v>493</v>
      </c>
      <c r="S5" s="434" t="s">
        <v>493</v>
      </c>
      <c r="T5" s="435" t="s">
        <v>493</v>
      </c>
    </row>
    <row r="6" spans="1:20" s="304" customFormat="1" ht="15" customHeight="1">
      <c r="A6" s="949"/>
      <c r="B6" s="953" t="s">
        <v>509</v>
      </c>
      <c r="C6" s="954"/>
      <c r="D6" s="954"/>
      <c r="E6" s="955"/>
      <c r="F6" s="480"/>
      <c r="G6" s="466"/>
      <c r="H6" s="467">
        <v>420</v>
      </c>
      <c r="I6" s="481"/>
      <c r="J6" s="469"/>
      <c r="K6" s="470"/>
      <c r="L6" s="471">
        <v>420</v>
      </c>
      <c r="M6" s="482"/>
      <c r="N6" s="473"/>
      <c r="O6" s="474">
        <v>420</v>
      </c>
      <c r="P6" s="483"/>
      <c r="Q6" s="476"/>
      <c r="R6" s="477"/>
      <c r="S6" s="478"/>
      <c r="T6" s="479"/>
    </row>
    <row r="7" spans="1:20" s="304" customFormat="1" ht="15" customHeight="1">
      <c r="A7" s="949"/>
      <c r="B7" s="953" t="s">
        <v>510</v>
      </c>
      <c r="C7" s="954"/>
      <c r="D7" s="954"/>
      <c r="E7" s="955"/>
      <c r="F7" s="465"/>
      <c r="G7" s="498"/>
      <c r="H7" s="492">
        <f>(H5*H6)</f>
        <v>420</v>
      </c>
      <c r="I7" s="493"/>
      <c r="J7" s="499"/>
      <c r="K7" s="500"/>
      <c r="L7" s="494">
        <f>(L5*L6)</f>
        <v>420</v>
      </c>
      <c r="M7" s="495"/>
      <c r="N7" s="501"/>
      <c r="O7" s="496">
        <f>(O5*O6)</f>
        <v>420</v>
      </c>
      <c r="P7" s="497"/>
      <c r="Q7" s="502"/>
      <c r="R7" s="503"/>
      <c r="S7" s="504"/>
      <c r="T7" s="505"/>
    </row>
    <row r="8" spans="1:20" ht="119.25" customHeight="1">
      <c r="A8" s="949"/>
      <c r="B8" s="419">
        <v>59</v>
      </c>
      <c r="C8" s="959" t="s">
        <v>478</v>
      </c>
      <c r="D8" s="960"/>
      <c r="E8" s="419" t="s">
        <v>400</v>
      </c>
      <c r="F8" s="436" t="s">
        <v>493</v>
      </c>
      <c r="G8" s="423" t="s">
        <v>493</v>
      </c>
      <c r="H8" s="440" t="s">
        <v>493</v>
      </c>
      <c r="I8" s="437" t="s">
        <v>493</v>
      </c>
      <c r="J8" s="426" t="s">
        <v>493</v>
      </c>
      <c r="K8" s="427" t="s">
        <v>493</v>
      </c>
      <c r="L8" s="421" t="s">
        <v>493</v>
      </c>
      <c r="M8" s="438" t="s">
        <v>493</v>
      </c>
      <c r="N8" s="429" t="s">
        <v>493</v>
      </c>
      <c r="O8" s="441" t="s">
        <v>493</v>
      </c>
      <c r="P8" s="439" t="s">
        <v>493</v>
      </c>
      <c r="Q8" s="432" t="s">
        <v>493</v>
      </c>
      <c r="R8" s="433" t="s">
        <v>493</v>
      </c>
      <c r="S8" s="434" t="s">
        <v>493</v>
      </c>
      <c r="T8" s="435" t="s">
        <v>493</v>
      </c>
    </row>
    <row r="9" spans="1:20" s="304" customFormat="1" ht="15" customHeight="1">
      <c r="A9" s="949"/>
      <c r="B9" s="953" t="s">
        <v>509</v>
      </c>
      <c r="C9" s="954"/>
      <c r="D9" s="954"/>
      <c r="E9" s="955"/>
      <c r="F9" s="480"/>
      <c r="G9" s="466"/>
      <c r="H9" s="484"/>
      <c r="I9" s="481"/>
      <c r="J9" s="469"/>
      <c r="K9" s="470"/>
      <c r="L9" s="485"/>
      <c r="M9" s="482"/>
      <c r="N9" s="473"/>
      <c r="O9" s="486"/>
      <c r="P9" s="483"/>
      <c r="Q9" s="476"/>
      <c r="R9" s="477"/>
      <c r="S9" s="478"/>
      <c r="T9" s="479"/>
    </row>
    <row r="10" spans="1:20" s="304" customFormat="1" ht="15" customHeight="1">
      <c r="A10" s="949"/>
      <c r="B10" s="953" t="s">
        <v>510</v>
      </c>
      <c r="C10" s="954"/>
      <c r="D10" s="954"/>
      <c r="E10" s="955"/>
      <c r="F10" s="465"/>
      <c r="G10" s="498"/>
      <c r="H10" s="492"/>
      <c r="I10" s="493"/>
      <c r="J10" s="499"/>
      <c r="K10" s="500"/>
      <c r="L10" s="494"/>
      <c r="M10" s="495"/>
      <c r="N10" s="501"/>
      <c r="O10" s="496"/>
      <c r="P10" s="497"/>
      <c r="Q10" s="502"/>
      <c r="R10" s="503"/>
      <c r="S10" s="504"/>
      <c r="T10" s="505"/>
    </row>
    <row r="11" spans="1:20" ht="65.25" customHeight="1">
      <c r="A11" s="949"/>
      <c r="B11" s="419">
        <v>60</v>
      </c>
      <c r="C11" s="959" t="s">
        <v>479</v>
      </c>
      <c r="D11" s="960"/>
      <c r="E11" s="419" t="s">
        <v>400</v>
      </c>
      <c r="F11" s="422">
        <v>1</v>
      </c>
      <c r="G11" s="442">
        <v>1</v>
      </c>
      <c r="H11" s="440" t="s">
        <v>493</v>
      </c>
      <c r="I11" s="425">
        <v>1</v>
      </c>
      <c r="J11" s="426" t="s">
        <v>493</v>
      </c>
      <c r="K11" s="427" t="s">
        <v>493</v>
      </c>
      <c r="L11" s="420">
        <v>1</v>
      </c>
      <c r="M11" s="428">
        <v>1</v>
      </c>
      <c r="N11" s="429" t="s">
        <v>493</v>
      </c>
      <c r="O11" s="430">
        <v>1</v>
      </c>
      <c r="P11" s="431">
        <v>1</v>
      </c>
      <c r="Q11" s="432" t="s">
        <v>493</v>
      </c>
      <c r="R11" s="443">
        <v>1</v>
      </c>
      <c r="S11" s="444">
        <v>1</v>
      </c>
      <c r="T11" s="445">
        <v>1</v>
      </c>
    </row>
    <row r="12" spans="1:20" s="304" customFormat="1" ht="15" customHeight="1">
      <c r="A12" s="949"/>
      <c r="B12" s="953" t="s">
        <v>509</v>
      </c>
      <c r="C12" s="954"/>
      <c r="D12" s="954"/>
      <c r="E12" s="955"/>
      <c r="F12" s="465">
        <v>60</v>
      </c>
      <c r="G12" s="487">
        <v>60</v>
      </c>
      <c r="H12" s="484"/>
      <c r="I12" s="468">
        <v>60</v>
      </c>
      <c r="J12" s="469"/>
      <c r="K12" s="470"/>
      <c r="L12" s="471">
        <v>60</v>
      </c>
      <c r="M12" s="472">
        <v>60</v>
      </c>
      <c r="N12" s="473"/>
      <c r="O12" s="474">
        <v>60</v>
      </c>
      <c r="P12" s="475">
        <v>62</v>
      </c>
      <c r="Q12" s="476"/>
      <c r="R12" s="488">
        <v>60</v>
      </c>
      <c r="S12" s="489">
        <v>60</v>
      </c>
      <c r="T12" s="490">
        <v>60</v>
      </c>
    </row>
    <row r="13" spans="1:20" s="304" customFormat="1" ht="15" customHeight="1">
      <c r="A13" s="949"/>
      <c r="B13" s="953" t="s">
        <v>510</v>
      </c>
      <c r="C13" s="954"/>
      <c r="D13" s="954"/>
      <c r="E13" s="955"/>
      <c r="F13" s="465">
        <f>(F11*F12)</f>
        <v>60</v>
      </c>
      <c r="G13" s="498">
        <f>(G11*G12)</f>
        <v>60</v>
      </c>
      <c r="H13" s="492"/>
      <c r="I13" s="493">
        <f>(I11*I12)</f>
        <v>60</v>
      </c>
      <c r="J13" s="499"/>
      <c r="K13" s="500"/>
      <c r="L13" s="494">
        <f>(L11*L12)</f>
        <v>60</v>
      </c>
      <c r="M13" s="495">
        <f>(M11*M12)</f>
        <v>60</v>
      </c>
      <c r="N13" s="501"/>
      <c r="O13" s="496">
        <f>(O11*O12)</f>
        <v>60</v>
      </c>
      <c r="P13" s="497">
        <f>(P11*P12)</f>
        <v>62</v>
      </c>
      <c r="Q13" s="502"/>
      <c r="R13" s="503">
        <f>(R11*R12)</f>
        <v>60</v>
      </c>
      <c r="S13" s="504">
        <f>(S11*S12)</f>
        <v>60</v>
      </c>
      <c r="T13" s="505">
        <f>(T11*T12)</f>
        <v>60</v>
      </c>
    </row>
    <row r="14" spans="1:20" ht="75" customHeight="1">
      <c r="A14" s="949"/>
      <c r="B14" s="419">
        <v>61</v>
      </c>
      <c r="C14" s="959" t="s">
        <v>480</v>
      </c>
      <c r="D14" s="960"/>
      <c r="E14" s="419" t="s">
        <v>400</v>
      </c>
      <c r="F14" s="436" t="s">
        <v>493</v>
      </c>
      <c r="G14" s="423" t="s">
        <v>493</v>
      </c>
      <c r="H14" s="424">
        <v>1</v>
      </c>
      <c r="I14" s="437" t="s">
        <v>493</v>
      </c>
      <c r="J14" s="426" t="s">
        <v>493</v>
      </c>
      <c r="K14" s="427" t="s">
        <v>493</v>
      </c>
      <c r="L14" s="420">
        <v>1</v>
      </c>
      <c r="M14" s="428">
        <v>1</v>
      </c>
      <c r="N14" s="429" t="s">
        <v>493</v>
      </c>
      <c r="O14" s="441" t="s">
        <v>493</v>
      </c>
      <c r="P14" s="439" t="s">
        <v>493</v>
      </c>
      <c r="Q14" s="432" t="s">
        <v>493</v>
      </c>
      <c r="R14" s="433" t="s">
        <v>493</v>
      </c>
      <c r="S14" s="434" t="s">
        <v>493</v>
      </c>
      <c r="T14" s="435" t="s">
        <v>493</v>
      </c>
    </row>
    <row r="15" spans="1:20" s="304" customFormat="1" ht="15" customHeight="1">
      <c r="A15" s="949"/>
      <c r="B15" s="953" t="s">
        <v>509</v>
      </c>
      <c r="C15" s="954"/>
      <c r="D15" s="954"/>
      <c r="E15" s="955"/>
      <c r="F15" s="480"/>
      <c r="G15" s="466"/>
      <c r="H15" s="467">
        <v>300</v>
      </c>
      <c r="I15" s="481"/>
      <c r="J15" s="469"/>
      <c r="K15" s="470"/>
      <c r="L15" s="471">
        <v>300</v>
      </c>
      <c r="M15" s="472">
        <v>300</v>
      </c>
      <c r="N15" s="473"/>
      <c r="O15" s="486"/>
      <c r="P15" s="483"/>
      <c r="Q15" s="476"/>
      <c r="R15" s="477"/>
      <c r="S15" s="478"/>
      <c r="T15" s="479"/>
    </row>
    <row r="16" spans="1:20" s="304" customFormat="1" ht="15" customHeight="1">
      <c r="A16" s="949"/>
      <c r="B16" s="953" t="s">
        <v>510</v>
      </c>
      <c r="C16" s="954"/>
      <c r="D16" s="954"/>
      <c r="E16" s="955"/>
      <c r="F16" s="465"/>
      <c r="G16" s="498"/>
      <c r="H16" s="492">
        <f>(H14*H15)</f>
        <v>300</v>
      </c>
      <c r="I16" s="493"/>
      <c r="J16" s="499"/>
      <c r="K16" s="500"/>
      <c r="L16" s="494">
        <f>(L14*L15)</f>
        <v>300</v>
      </c>
      <c r="M16" s="495">
        <f>(M14*M15)</f>
        <v>300</v>
      </c>
      <c r="N16" s="501"/>
      <c r="O16" s="496"/>
      <c r="P16" s="497"/>
      <c r="Q16" s="502"/>
      <c r="R16" s="503"/>
      <c r="S16" s="504"/>
      <c r="T16" s="505"/>
    </row>
    <row r="17" spans="1:20" ht="75" customHeight="1">
      <c r="A17" s="949"/>
      <c r="B17" s="419">
        <v>62</v>
      </c>
      <c r="C17" s="961" t="s">
        <v>511</v>
      </c>
      <c r="D17" s="962"/>
      <c r="E17" s="419" t="s">
        <v>400</v>
      </c>
      <c r="F17" s="436" t="s">
        <v>493</v>
      </c>
      <c r="G17" s="423" t="s">
        <v>493</v>
      </c>
      <c r="H17" s="424">
        <v>1</v>
      </c>
      <c r="I17" s="437" t="s">
        <v>493</v>
      </c>
      <c r="J17" s="426" t="s">
        <v>493</v>
      </c>
      <c r="K17" s="427" t="s">
        <v>493</v>
      </c>
      <c r="L17" s="420">
        <v>1</v>
      </c>
      <c r="M17" s="428">
        <v>1</v>
      </c>
      <c r="N17" s="429" t="s">
        <v>493</v>
      </c>
      <c r="O17" s="441" t="s">
        <v>493</v>
      </c>
      <c r="P17" s="439" t="s">
        <v>493</v>
      </c>
      <c r="Q17" s="432" t="s">
        <v>493</v>
      </c>
      <c r="R17" s="433" t="s">
        <v>493</v>
      </c>
      <c r="S17" s="434" t="s">
        <v>493</v>
      </c>
      <c r="T17" s="435" t="s">
        <v>493</v>
      </c>
    </row>
    <row r="18" spans="1:20" s="304" customFormat="1" ht="15" customHeight="1">
      <c r="A18" s="949"/>
      <c r="B18" s="953" t="s">
        <v>509</v>
      </c>
      <c r="C18" s="954"/>
      <c r="D18" s="954"/>
      <c r="E18" s="955"/>
      <c r="F18" s="480"/>
      <c r="G18" s="466"/>
      <c r="H18" s="467">
        <v>600</v>
      </c>
      <c r="I18" s="481"/>
      <c r="J18" s="469"/>
      <c r="K18" s="470"/>
      <c r="L18" s="471">
        <v>600</v>
      </c>
      <c r="M18" s="472">
        <v>600</v>
      </c>
      <c r="N18" s="473"/>
      <c r="O18" s="486"/>
      <c r="P18" s="483"/>
      <c r="Q18" s="476"/>
      <c r="R18" s="477"/>
      <c r="S18" s="478"/>
      <c r="T18" s="479"/>
    </row>
    <row r="19" spans="1:20" s="304" customFormat="1" ht="15" customHeight="1">
      <c r="A19" s="949"/>
      <c r="B19" s="953" t="s">
        <v>510</v>
      </c>
      <c r="C19" s="954"/>
      <c r="D19" s="954"/>
      <c r="E19" s="955"/>
      <c r="F19" s="465"/>
      <c r="G19" s="498"/>
      <c r="H19" s="492">
        <f>(H17*H18)</f>
        <v>600</v>
      </c>
      <c r="I19" s="493"/>
      <c r="J19" s="499"/>
      <c r="K19" s="500"/>
      <c r="L19" s="494">
        <f>(L17*L18)</f>
        <v>600</v>
      </c>
      <c r="M19" s="495">
        <f>(M17*M18)</f>
        <v>600</v>
      </c>
      <c r="N19" s="501"/>
      <c r="O19" s="496"/>
      <c r="P19" s="497"/>
      <c r="Q19" s="502"/>
      <c r="R19" s="503"/>
      <c r="S19" s="504"/>
      <c r="T19" s="505"/>
    </row>
    <row r="20" spans="1:20" ht="188.25" customHeight="1">
      <c r="A20" s="949"/>
      <c r="B20" s="419">
        <v>63</v>
      </c>
      <c r="C20" s="961" t="s">
        <v>481</v>
      </c>
      <c r="D20" s="962"/>
      <c r="E20" s="419" t="s">
        <v>400</v>
      </c>
      <c r="F20" s="446">
        <v>2</v>
      </c>
      <c r="G20" s="423" t="s">
        <v>493</v>
      </c>
      <c r="H20" s="424">
        <v>2</v>
      </c>
      <c r="I20" s="425">
        <v>2</v>
      </c>
      <c r="J20" s="426" t="s">
        <v>493</v>
      </c>
      <c r="K20" s="427" t="s">
        <v>493</v>
      </c>
      <c r="L20" s="420">
        <v>1</v>
      </c>
      <c r="M20" s="438" t="s">
        <v>493</v>
      </c>
      <c r="N20" s="429" t="s">
        <v>493</v>
      </c>
      <c r="O20" s="430">
        <v>2</v>
      </c>
      <c r="P20" s="431">
        <v>2</v>
      </c>
      <c r="Q20" s="432" t="s">
        <v>493</v>
      </c>
      <c r="R20" s="433" t="s">
        <v>493</v>
      </c>
      <c r="S20" s="434" t="s">
        <v>493</v>
      </c>
      <c r="T20" s="435" t="s">
        <v>493</v>
      </c>
    </row>
    <row r="21" spans="1:20" s="304" customFormat="1" ht="15" customHeight="1">
      <c r="A21" s="949"/>
      <c r="B21" s="953" t="s">
        <v>509</v>
      </c>
      <c r="C21" s="954"/>
      <c r="D21" s="954"/>
      <c r="E21" s="955"/>
      <c r="F21" s="491">
        <v>250</v>
      </c>
      <c r="G21" s="466"/>
      <c r="H21" s="467">
        <v>250</v>
      </c>
      <c r="I21" s="468">
        <v>250</v>
      </c>
      <c r="J21" s="469"/>
      <c r="K21" s="470"/>
      <c r="L21" s="471">
        <v>250</v>
      </c>
      <c r="M21" s="482"/>
      <c r="N21" s="473"/>
      <c r="O21" s="474">
        <v>250</v>
      </c>
      <c r="P21" s="475">
        <v>250</v>
      </c>
      <c r="Q21" s="476"/>
      <c r="R21" s="477"/>
      <c r="S21" s="478"/>
      <c r="T21" s="479"/>
    </row>
    <row r="22" spans="1:20" s="304" customFormat="1" ht="15" customHeight="1">
      <c r="A22" s="949"/>
      <c r="B22" s="953" t="s">
        <v>510</v>
      </c>
      <c r="C22" s="954"/>
      <c r="D22" s="954"/>
      <c r="E22" s="955"/>
      <c r="F22" s="465">
        <f>(F20*F21)</f>
        <v>500</v>
      </c>
      <c r="G22" s="498"/>
      <c r="H22" s="492">
        <f>(H20*H21)</f>
        <v>500</v>
      </c>
      <c r="I22" s="493">
        <f>(I20*I21)</f>
        <v>500</v>
      </c>
      <c r="J22" s="499"/>
      <c r="K22" s="500"/>
      <c r="L22" s="494">
        <f>(L20*L21)</f>
        <v>250</v>
      </c>
      <c r="M22" s="495"/>
      <c r="N22" s="501"/>
      <c r="O22" s="496">
        <f>(O20*O21)</f>
        <v>500</v>
      </c>
      <c r="P22" s="497">
        <f>(P20*P21)</f>
        <v>500</v>
      </c>
      <c r="Q22" s="502"/>
      <c r="R22" s="503"/>
      <c r="S22" s="504"/>
      <c r="T22" s="505"/>
    </row>
    <row r="23" spans="1:20" ht="44.25" customHeight="1">
      <c r="A23" s="949"/>
      <c r="B23" s="419">
        <v>64</v>
      </c>
      <c r="C23" s="959" t="s">
        <v>482</v>
      </c>
      <c r="D23" s="960"/>
      <c r="E23" s="419" t="s">
        <v>400</v>
      </c>
      <c r="F23" s="447">
        <v>1</v>
      </c>
      <c r="G23" s="442">
        <v>1</v>
      </c>
      <c r="H23" s="424">
        <v>1</v>
      </c>
      <c r="I23" s="425">
        <v>1</v>
      </c>
      <c r="J23" s="426" t="s">
        <v>493</v>
      </c>
      <c r="K23" s="427" t="s">
        <v>493</v>
      </c>
      <c r="L23" s="420">
        <v>1</v>
      </c>
      <c r="M23" s="438" t="s">
        <v>493</v>
      </c>
      <c r="N23" s="429" t="s">
        <v>493</v>
      </c>
      <c r="O23" s="430">
        <v>1</v>
      </c>
      <c r="P23" s="431">
        <v>1</v>
      </c>
      <c r="Q23" s="448">
        <v>1</v>
      </c>
      <c r="R23" s="443">
        <v>1</v>
      </c>
      <c r="S23" s="444">
        <v>1</v>
      </c>
      <c r="T23" s="435" t="s">
        <v>493</v>
      </c>
    </row>
    <row r="24" spans="1:20" s="304" customFormat="1" ht="15" customHeight="1">
      <c r="A24" s="949"/>
      <c r="B24" s="953" t="s">
        <v>509</v>
      </c>
      <c r="C24" s="954"/>
      <c r="D24" s="954"/>
      <c r="E24" s="955"/>
      <c r="F24" s="491">
        <v>180</v>
      </c>
      <c r="G24" s="498">
        <v>180</v>
      </c>
      <c r="H24" s="467">
        <v>180</v>
      </c>
      <c r="I24" s="468">
        <v>180</v>
      </c>
      <c r="J24" s="469"/>
      <c r="K24" s="470"/>
      <c r="L24" s="471">
        <v>180</v>
      </c>
      <c r="M24" s="482"/>
      <c r="N24" s="473"/>
      <c r="O24" s="474">
        <v>180</v>
      </c>
      <c r="P24" s="475">
        <v>180</v>
      </c>
      <c r="Q24" s="502">
        <v>180</v>
      </c>
      <c r="R24" s="503">
        <v>180</v>
      </c>
      <c r="S24" s="504">
        <v>180</v>
      </c>
      <c r="T24" s="479"/>
    </row>
    <row r="25" spans="1:20" s="304" customFormat="1" ht="15" customHeight="1">
      <c r="A25" s="949"/>
      <c r="B25" s="953" t="s">
        <v>510</v>
      </c>
      <c r="C25" s="954"/>
      <c r="D25" s="954"/>
      <c r="E25" s="955"/>
      <c r="F25" s="465">
        <f>(F23*F24)</f>
        <v>180</v>
      </c>
      <c r="G25" s="498">
        <f>(G23*G24)</f>
        <v>180</v>
      </c>
      <c r="H25" s="492">
        <f>(H23*H24)</f>
        <v>180</v>
      </c>
      <c r="I25" s="493">
        <f>(I23*I24)</f>
        <v>180</v>
      </c>
      <c r="J25" s="499"/>
      <c r="K25" s="500"/>
      <c r="L25" s="494">
        <f>(L23*L24)</f>
        <v>180</v>
      </c>
      <c r="M25" s="495"/>
      <c r="N25" s="501"/>
      <c r="O25" s="496">
        <f>(O23*O24)</f>
        <v>180</v>
      </c>
      <c r="P25" s="497">
        <f>(P23*P24)</f>
        <v>180</v>
      </c>
      <c r="Q25" s="502">
        <f>(Q23*Q24)</f>
        <v>180</v>
      </c>
      <c r="R25" s="503">
        <f>(R23*R24)</f>
        <v>180</v>
      </c>
      <c r="S25" s="504">
        <f>(S23*S24)</f>
        <v>180</v>
      </c>
      <c r="T25" s="505"/>
    </row>
    <row r="26" spans="1:20" ht="45.75" customHeight="1">
      <c r="A26" s="949"/>
      <c r="B26" s="419">
        <v>65</v>
      </c>
      <c r="C26" s="959" t="s">
        <v>483</v>
      </c>
      <c r="D26" s="960"/>
      <c r="E26" s="419" t="s">
        <v>400</v>
      </c>
      <c r="F26" s="436" t="s">
        <v>493</v>
      </c>
      <c r="G26" s="423" t="s">
        <v>493</v>
      </c>
      <c r="H26" s="440" t="s">
        <v>493</v>
      </c>
      <c r="I26" s="437" t="s">
        <v>493</v>
      </c>
      <c r="J26" s="426" t="s">
        <v>493</v>
      </c>
      <c r="K26" s="427" t="s">
        <v>493</v>
      </c>
      <c r="L26" s="421" t="s">
        <v>493</v>
      </c>
      <c r="M26" s="438" t="s">
        <v>493</v>
      </c>
      <c r="N26" s="429" t="s">
        <v>493</v>
      </c>
      <c r="O26" s="441" t="s">
        <v>493</v>
      </c>
      <c r="P26" s="439" t="s">
        <v>493</v>
      </c>
      <c r="Q26" s="432" t="s">
        <v>493</v>
      </c>
      <c r="R26" s="433" t="s">
        <v>493</v>
      </c>
      <c r="S26" s="434" t="s">
        <v>493</v>
      </c>
      <c r="T26" s="435" t="s">
        <v>493</v>
      </c>
    </row>
    <row r="27" spans="1:20" s="304" customFormat="1" ht="15" customHeight="1">
      <c r="A27" s="949"/>
      <c r="B27" s="953" t="s">
        <v>509</v>
      </c>
      <c r="C27" s="954"/>
      <c r="D27" s="954"/>
      <c r="E27" s="955"/>
      <c r="F27" s="491"/>
      <c r="G27" s="466"/>
      <c r="H27" s="467"/>
      <c r="I27" s="468"/>
      <c r="J27" s="469"/>
      <c r="K27" s="470"/>
      <c r="L27" s="471"/>
      <c r="M27" s="482"/>
      <c r="N27" s="473"/>
      <c r="O27" s="474"/>
      <c r="P27" s="475"/>
      <c r="Q27" s="476"/>
      <c r="R27" s="477"/>
      <c r="S27" s="478"/>
      <c r="T27" s="479"/>
    </row>
    <row r="28" spans="1:20" s="304" customFormat="1" ht="15" customHeight="1">
      <c r="A28" s="949"/>
      <c r="B28" s="953" t="s">
        <v>510</v>
      </c>
      <c r="C28" s="954"/>
      <c r="D28" s="954"/>
      <c r="E28" s="955"/>
      <c r="F28" s="465"/>
      <c r="G28" s="498"/>
      <c r="H28" s="492"/>
      <c r="I28" s="493"/>
      <c r="J28" s="499"/>
      <c r="K28" s="500"/>
      <c r="L28" s="494"/>
      <c r="M28" s="495"/>
      <c r="N28" s="501"/>
      <c r="O28" s="496"/>
      <c r="P28" s="497"/>
      <c r="Q28" s="502"/>
      <c r="R28" s="503"/>
      <c r="S28" s="504"/>
      <c r="T28" s="505"/>
    </row>
    <row r="29" spans="1:20" ht="44.25" customHeight="1">
      <c r="A29" s="949"/>
      <c r="B29" s="419">
        <v>66</v>
      </c>
      <c r="C29" s="959" t="s">
        <v>484</v>
      </c>
      <c r="D29" s="960"/>
      <c r="E29" s="419" t="s">
        <v>400</v>
      </c>
      <c r="F29" s="436" t="s">
        <v>493</v>
      </c>
      <c r="G29" s="423" t="s">
        <v>493</v>
      </c>
      <c r="H29" s="440" t="s">
        <v>493</v>
      </c>
      <c r="I29" s="437" t="s">
        <v>493</v>
      </c>
      <c r="J29" s="426" t="s">
        <v>493</v>
      </c>
      <c r="K29" s="427" t="s">
        <v>493</v>
      </c>
      <c r="L29" s="421" t="s">
        <v>493</v>
      </c>
      <c r="M29" s="428">
        <v>1</v>
      </c>
      <c r="N29" s="429" t="s">
        <v>493</v>
      </c>
      <c r="O29" s="441" t="s">
        <v>493</v>
      </c>
      <c r="P29" s="439" t="s">
        <v>493</v>
      </c>
      <c r="Q29" s="432" t="s">
        <v>493</v>
      </c>
      <c r="R29" s="433" t="s">
        <v>493</v>
      </c>
      <c r="S29" s="434" t="s">
        <v>493</v>
      </c>
      <c r="T29" s="435" t="s">
        <v>493</v>
      </c>
    </row>
    <row r="30" spans="1:20" s="304" customFormat="1" ht="15" customHeight="1">
      <c r="A30" s="949"/>
      <c r="B30" s="953" t="s">
        <v>509</v>
      </c>
      <c r="C30" s="954"/>
      <c r="D30" s="954"/>
      <c r="E30" s="955"/>
      <c r="F30" s="491"/>
      <c r="G30" s="466"/>
      <c r="H30" s="467"/>
      <c r="I30" s="468"/>
      <c r="J30" s="469"/>
      <c r="K30" s="470"/>
      <c r="L30" s="471"/>
      <c r="M30" s="572">
        <v>180</v>
      </c>
      <c r="N30" s="473"/>
      <c r="O30" s="474"/>
      <c r="P30" s="475"/>
      <c r="Q30" s="476"/>
      <c r="R30" s="477"/>
      <c r="S30" s="478"/>
      <c r="T30" s="479"/>
    </row>
    <row r="31" spans="1:20" s="304" customFormat="1" ht="15" customHeight="1">
      <c r="A31" s="950"/>
      <c r="B31" s="953" t="s">
        <v>510</v>
      </c>
      <c r="C31" s="954"/>
      <c r="D31" s="954"/>
      <c r="E31" s="955"/>
      <c r="F31" s="465"/>
      <c r="G31" s="498"/>
      <c r="H31" s="492"/>
      <c r="I31" s="493"/>
      <c r="J31" s="499"/>
      <c r="K31" s="500"/>
      <c r="L31" s="494"/>
      <c r="M31" s="495">
        <f>(M29*M30)</f>
        <v>180</v>
      </c>
      <c r="N31" s="501"/>
      <c r="O31" s="496"/>
      <c r="P31" s="497"/>
      <c r="Q31" s="502"/>
      <c r="R31" s="503"/>
      <c r="S31" s="504"/>
      <c r="T31" s="505"/>
    </row>
    <row r="32" spans="1:20" ht="105.75" customHeight="1">
      <c r="A32" s="948" t="s">
        <v>485</v>
      </c>
      <c r="B32" s="419">
        <v>67</v>
      </c>
      <c r="C32" s="961" t="s">
        <v>486</v>
      </c>
      <c r="D32" s="962"/>
      <c r="E32" s="419" t="s">
        <v>400</v>
      </c>
      <c r="F32" s="436" t="s">
        <v>493</v>
      </c>
      <c r="G32" s="423" t="s">
        <v>493</v>
      </c>
      <c r="H32" s="440" t="s">
        <v>493</v>
      </c>
      <c r="I32" s="437" t="s">
        <v>493</v>
      </c>
      <c r="J32" s="426" t="s">
        <v>493</v>
      </c>
      <c r="K32" s="427" t="s">
        <v>493</v>
      </c>
      <c r="L32" s="421" t="s">
        <v>493</v>
      </c>
      <c r="M32" s="438" t="s">
        <v>493</v>
      </c>
      <c r="N32" s="429" t="s">
        <v>493</v>
      </c>
      <c r="O32" s="441" t="s">
        <v>493</v>
      </c>
      <c r="P32" s="439" t="s">
        <v>493</v>
      </c>
      <c r="Q32" s="432" t="s">
        <v>493</v>
      </c>
      <c r="R32" s="433" t="s">
        <v>493</v>
      </c>
      <c r="S32" s="434" t="s">
        <v>493</v>
      </c>
      <c r="T32" s="435" t="s">
        <v>493</v>
      </c>
    </row>
    <row r="33" spans="1:20" s="304" customFormat="1" ht="15" customHeight="1">
      <c r="A33" s="949"/>
      <c r="B33" s="953" t="s">
        <v>509</v>
      </c>
      <c r="C33" s="954"/>
      <c r="D33" s="954"/>
      <c r="E33" s="955"/>
      <c r="F33" s="491"/>
      <c r="G33" s="466"/>
      <c r="H33" s="467"/>
      <c r="I33" s="468"/>
      <c r="J33" s="469"/>
      <c r="K33" s="470"/>
      <c r="L33" s="471"/>
      <c r="M33" s="482"/>
      <c r="N33" s="473"/>
      <c r="O33" s="474"/>
      <c r="P33" s="475"/>
      <c r="Q33" s="476"/>
      <c r="R33" s="477"/>
      <c r="S33" s="478"/>
      <c r="T33" s="479"/>
    </row>
    <row r="34" spans="1:20" s="304" customFormat="1" ht="15" customHeight="1">
      <c r="A34" s="949"/>
      <c r="B34" s="953" t="s">
        <v>510</v>
      </c>
      <c r="C34" s="954"/>
      <c r="D34" s="954"/>
      <c r="E34" s="955"/>
      <c r="F34" s="465"/>
      <c r="G34" s="498"/>
      <c r="H34" s="492"/>
      <c r="I34" s="493"/>
      <c r="J34" s="499"/>
      <c r="K34" s="500"/>
      <c r="L34" s="494"/>
      <c r="M34" s="495"/>
      <c r="N34" s="501"/>
      <c r="O34" s="496"/>
      <c r="P34" s="497"/>
      <c r="Q34" s="502"/>
      <c r="R34" s="503"/>
      <c r="S34" s="504"/>
      <c r="T34" s="505"/>
    </row>
    <row r="35" spans="1:20" ht="105" customHeight="1">
      <c r="A35" s="949"/>
      <c r="B35" s="419">
        <v>68</v>
      </c>
      <c r="C35" s="961" t="s">
        <v>487</v>
      </c>
      <c r="D35" s="962"/>
      <c r="E35" s="419" t="s">
        <v>400</v>
      </c>
      <c r="F35" s="436" t="s">
        <v>493</v>
      </c>
      <c r="G35" s="423" t="s">
        <v>493</v>
      </c>
      <c r="H35" s="440" t="s">
        <v>493</v>
      </c>
      <c r="I35" s="437" t="s">
        <v>493</v>
      </c>
      <c r="J35" s="426" t="s">
        <v>493</v>
      </c>
      <c r="K35" s="427" t="s">
        <v>493</v>
      </c>
      <c r="L35" s="421" t="s">
        <v>493</v>
      </c>
      <c r="M35" s="438" t="s">
        <v>493</v>
      </c>
      <c r="N35" s="429" t="s">
        <v>493</v>
      </c>
      <c r="O35" s="441" t="s">
        <v>493</v>
      </c>
      <c r="P35" s="439" t="s">
        <v>493</v>
      </c>
      <c r="Q35" s="432" t="s">
        <v>493</v>
      </c>
      <c r="R35" s="433" t="s">
        <v>493</v>
      </c>
      <c r="S35" s="434" t="s">
        <v>493</v>
      </c>
      <c r="T35" s="435" t="s">
        <v>493</v>
      </c>
    </row>
    <row r="36" spans="1:20" s="304" customFormat="1" ht="15" customHeight="1">
      <c r="A36" s="949"/>
      <c r="B36" s="953" t="s">
        <v>509</v>
      </c>
      <c r="C36" s="954"/>
      <c r="D36" s="954"/>
      <c r="E36" s="955"/>
      <c r="F36" s="491"/>
      <c r="G36" s="466"/>
      <c r="H36" s="467"/>
      <c r="I36" s="468"/>
      <c r="J36" s="469"/>
      <c r="K36" s="470"/>
      <c r="L36" s="471"/>
      <c r="M36" s="482"/>
      <c r="N36" s="473"/>
      <c r="O36" s="474"/>
      <c r="P36" s="475"/>
      <c r="Q36" s="476"/>
      <c r="R36" s="477"/>
      <c r="S36" s="478"/>
      <c r="T36" s="479"/>
    </row>
    <row r="37" spans="1:20" s="304" customFormat="1" ht="15" customHeight="1">
      <c r="A37" s="949"/>
      <c r="B37" s="953" t="s">
        <v>510</v>
      </c>
      <c r="C37" s="954"/>
      <c r="D37" s="954"/>
      <c r="E37" s="955"/>
      <c r="F37" s="465"/>
      <c r="G37" s="498"/>
      <c r="H37" s="492"/>
      <c r="I37" s="493"/>
      <c r="J37" s="499"/>
      <c r="K37" s="500"/>
      <c r="L37" s="494"/>
      <c r="M37" s="495"/>
      <c r="N37" s="501"/>
      <c r="O37" s="496"/>
      <c r="P37" s="497"/>
      <c r="Q37" s="502"/>
      <c r="R37" s="503"/>
      <c r="S37" s="504"/>
      <c r="T37" s="505"/>
    </row>
    <row r="38" spans="1:20" ht="76.5" customHeight="1">
      <c r="A38" s="949"/>
      <c r="B38" s="419">
        <v>69</v>
      </c>
      <c r="C38" s="959" t="s">
        <v>488</v>
      </c>
      <c r="D38" s="960"/>
      <c r="E38" s="419" t="s">
        <v>400</v>
      </c>
      <c r="F38" s="436" t="s">
        <v>493</v>
      </c>
      <c r="G38" s="423" t="s">
        <v>493</v>
      </c>
      <c r="H38" s="424">
        <v>5</v>
      </c>
      <c r="I38" s="425">
        <v>2</v>
      </c>
      <c r="J38" s="426" t="s">
        <v>493</v>
      </c>
      <c r="K38" s="427" t="s">
        <v>493</v>
      </c>
      <c r="L38" s="420">
        <v>4</v>
      </c>
      <c r="M38" s="438" t="s">
        <v>493</v>
      </c>
      <c r="N38" s="429" t="s">
        <v>493</v>
      </c>
      <c r="O38" s="430">
        <v>5</v>
      </c>
      <c r="P38" s="431">
        <v>5</v>
      </c>
      <c r="Q38" s="432" t="s">
        <v>493</v>
      </c>
      <c r="R38" s="433" t="s">
        <v>493</v>
      </c>
      <c r="S38" s="434" t="s">
        <v>493</v>
      </c>
      <c r="T38" s="435" t="s">
        <v>493</v>
      </c>
    </row>
    <row r="39" spans="1:20" s="304" customFormat="1" ht="15" customHeight="1">
      <c r="A39" s="949"/>
      <c r="B39" s="953" t="s">
        <v>509</v>
      </c>
      <c r="C39" s="954"/>
      <c r="D39" s="954"/>
      <c r="E39" s="955"/>
      <c r="F39" s="491"/>
      <c r="G39" s="466"/>
      <c r="H39" s="467">
        <v>5</v>
      </c>
      <c r="I39" s="468">
        <v>5</v>
      </c>
      <c r="J39" s="469"/>
      <c r="K39" s="470"/>
      <c r="L39" s="471">
        <v>5</v>
      </c>
      <c r="M39" s="482"/>
      <c r="N39" s="473"/>
      <c r="O39" s="474">
        <v>5</v>
      </c>
      <c r="P39" s="475">
        <v>5</v>
      </c>
      <c r="Q39" s="476"/>
      <c r="R39" s="477"/>
      <c r="S39" s="478"/>
      <c r="T39" s="479"/>
    </row>
    <row r="40" spans="1:20" s="304" customFormat="1" ht="15" customHeight="1">
      <c r="A40" s="949"/>
      <c r="B40" s="953" t="s">
        <v>510</v>
      </c>
      <c r="C40" s="954"/>
      <c r="D40" s="954"/>
      <c r="E40" s="955"/>
      <c r="F40" s="465"/>
      <c r="G40" s="498"/>
      <c r="H40" s="492">
        <f>(H38*H39)</f>
        <v>25</v>
      </c>
      <c r="I40" s="493">
        <f>(I38*I39)</f>
        <v>10</v>
      </c>
      <c r="J40" s="499"/>
      <c r="K40" s="500"/>
      <c r="L40" s="494">
        <f>(L38*L39)</f>
        <v>20</v>
      </c>
      <c r="M40" s="495"/>
      <c r="N40" s="501"/>
      <c r="O40" s="496">
        <f>(O38*O39)</f>
        <v>25</v>
      </c>
      <c r="P40" s="497">
        <f>(P38*P39)</f>
        <v>25</v>
      </c>
      <c r="Q40" s="502"/>
      <c r="R40" s="503"/>
      <c r="S40" s="504"/>
      <c r="T40" s="505"/>
    </row>
    <row r="41" spans="1:20" ht="67.5" customHeight="1">
      <c r="A41" s="949"/>
      <c r="B41" s="419">
        <v>70</v>
      </c>
      <c r="C41" s="959" t="s">
        <v>489</v>
      </c>
      <c r="D41" s="960"/>
      <c r="E41" s="419" t="s">
        <v>400</v>
      </c>
      <c r="F41" s="436" t="s">
        <v>493</v>
      </c>
      <c r="G41" s="423" t="s">
        <v>493</v>
      </c>
      <c r="H41" s="440" t="s">
        <v>493</v>
      </c>
      <c r="I41" s="437" t="s">
        <v>493</v>
      </c>
      <c r="J41" s="426" t="s">
        <v>493</v>
      </c>
      <c r="K41" s="427" t="s">
        <v>493</v>
      </c>
      <c r="L41" s="421" t="s">
        <v>493</v>
      </c>
      <c r="M41" s="438" t="s">
        <v>493</v>
      </c>
      <c r="N41" s="429" t="s">
        <v>493</v>
      </c>
      <c r="O41" s="441" t="s">
        <v>493</v>
      </c>
      <c r="P41" s="439" t="s">
        <v>493</v>
      </c>
      <c r="Q41" s="432" t="s">
        <v>493</v>
      </c>
      <c r="R41" s="433" t="s">
        <v>493</v>
      </c>
      <c r="S41" s="434" t="s">
        <v>493</v>
      </c>
      <c r="T41" s="435" t="s">
        <v>493</v>
      </c>
    </row>
    <row r="42" spans="1:20" s="304" customFormat="1" ht="15" customHeight="1">
      <c r="A42" s="949"/>
      <c r="B42" s="953">
        <v>71</v>
      </c>
      <c r="C42" s="954"/>
      <c r="D42" s="954"/>
      <c r="E42" s="955"/>
      <c r="F42" s="491"/>
      <c r="G42" s="466"/>
      <c r="H42" s="467"/>
      <c r="I42" s="468"/>
      <c r="J42" s="469"/>
      <c r="K42" s="470"/>
      <c r="L42" s="471"/>
      <c r="M42" s="482"/>
      <c r="N42" s="473"/>
      <c r="O42" s="474"/>
      <c r="P42" s="475"/>
      <c r="Q42" s="476"/>
      <c r="R42" s="477"/>
      <c r="S42" s="478"/>
      <c r="T42" s="479"/>
    </row>
    <row r="43" spans="1:20" s="304" customFormat="1" ht="15" customHeight="1">
      <c r="A43" s="949"/>
      <c r="B43" s="953" t="s">
        <v>510</v>
      </c>
      <c r="C43" s="954"/>
      <c r="D43" s="954"/>
      <c r="E43" s="955"/>
      <c r="F43" s="465"/>
      <c r="G43" s="498"/>
      <c r="H43" s="492"/>
      <c r="I43" s="493"/>
      <c r="J43" s="499"/>
      <c r="K43" s="500"/>
      <c r="L43" s="494"/>
      <c r="M43" s="495"/>
      <c r="N43" s="501"/>
      <c r="O43" s="496"/>
      <c r="P43" s="497"/>
      <c r="Q43" s="502"/>
      <c r="R43" s="503"/>
      <c r="S43" s="504"/>
      <c r="T43" s="505"/>
    </row>
    <row r="44" spans="1:20" ht="28.5" customHeight="1">
      <c r="A44" s="949"/>
      <c r="B44" s="419">
        <v>71</v>
      </c>
      <c r="C44" s="959" t="s">
        <v>490</v>
      </c>
      <c r="D44" s="960"/>
      <c r="E44" s="419" t="s">
        <v>400</v>
      </c>
      <c r="F44" s="447">
        <v>4</v>
      </c>
      <c r="G44" s="442">
        <v>4</v>
      </c>
      <c r="H44" s="424">
        <v>5</v>
      </c>
      <c r="I44" s="425">
        <v>4</v>
      </c>
      <c r="J44" s="426" t="s">
        <v>493</v>
      </c>
      <c r="K44" s="427" t="s">
        <v>493</v>
      </c>
      <c r="L44" s="420">
        <v>4</v>
      </c>
      <c r="M44" s="428">
        <v>4</v>
      </c>
      <c r="N44" s="429" t="s">
        <v>493</v>
      </c>
      <c r="O44" s="430">
        <v>4</v>
      </c>
      <c r="P44" s="431">
        <v>4</v>
      </c>
      <c r="Q44" s="432" t="s">
        <v>493</v>
      </c>
      <c r="R44" s="443">
        <v>4</v>
      </c>
      <c r="S44" s="444">
        <v>4</v>
      </c>
      <c r="T44" s="435" t="s">
        <v>493</v>
      </c>
    </row>
    <row r="45" spans="1:20" s="304" customFormat="1" ht="15" customHeight="1">
      <c r="A45" s="949"/>
      <c r="B45" s="953" t="s">
        <v>509</v>
      </c>
      <c r="C45" s="954"/>
      <c r="D45" s="954"/>
      <c r="E45" s="955"/>
      <c r="F45" s="491">
        <v>5</v>
      </c>
      <c r="G45" s="498">
        <v>5</v>
      </c>
      <c r="H45" s="467">
        <v>5</v>
      </c>
      <c r="I45" s="468">
        <v>5</v>
      </c>
      <c r="J45" s="469"/>
      <c r="K45" s="470"/>
      <c r="L45" s="471">
        <v>5</v>
      </c>
      <c r="M45" s="572">
        <v>5</v>
      </c>
      <c r="N45" s="473"/>
      <c r="O45" s="474">
        <v>5</v>
      </c>
      <c r="P45" s="475">
        <v>5</v>
      </c>
      <c r="Q45" s="476"/>
      <c r="R45" s="503">
        <v>5</v>
      </c>
      <c r="S45" s="504">
        <v>5</v>
      </c>
      <c r="T45" s="479"/>
    </row>
    <row r="46" spans="1:20" s="304" customFormat="1" ht="15" customHeight="1">
      <c r="A46" s="949"/>
      <c r="B46" s="953" t="s">
        <v>510</v>
      </c>
      <c r="C46" s="954"/>
      <c r="D46" s="954"/>
      <c r="E46" s="955"/>
      <c r="F46" s="498">
        <f>(F44*F45)</f>
        <v>20</v>
      </c>
      <c r="G46" s="498">
        <f>(G44*G45)</f>
        <v>20</v>
      </c>
      <c r="H46" s="492">
        <f>(H44*H45)</f>
        <v>25</v>
      </c>
      <c r="I46" s="493">
        <f>(I44*I45)</f>
        <v>20</v>
      </c>
      <c r="J46" s="499"/>
      <c r="K46" s="500"/>
      <c r="L46" s="494">
        <f>(L44*L45)</f>
        <v>20</v>
      </c>
      <c r="M46" s="495">
        <f>(M44*M45)</f>
        <v>20</v>
      </c>
      <c r="N46" s="501"/>
      <c r="O46" s="496">
        <f>(O44*O45)</f>
        <v>20</v>
      </c>
      <c r="P46" s="497">
        <f>(P44*P45)</f>
        <v>20</v>
      </c>
      <c r="Q46" s="502"/>
      <c r="R46" s="503">
        <f>(R44*R45)</f>
        <v>20</v>
      </c>
      <c r="S46" s="504">
        <f>(S44*S45)</f>
        <v>20</v>
      </c>
      <c r="T46" s="505"/>
    </row>
    <row r="47" spans="1:20" ht="42.75" customHeight="1">
      <c r="A47" s="949"/>
      <c r="B47" s="419">
        <v>72</v>
      </c>
      <c r="C47" s="959" t="s">
        <v>491</v>
      </c>
      <c r="D47" s="960"/>
      <c r="E47" s="419" t="s">
        <v>492</v>
      </c>
      <c r="F47" s="436" t="s">
        <v>493</v>
      </c>
      <c r="G47" s="423" t="s">
        <v>493</v>
      </c>
      <c r="H47" s="424">
        <v>5</v>
      </c>
      <c r="I47" s="425">
        <v>5</v>
      </c>
      <c r="J47" s="426" t="s">
        <v>493</v>
      </c>
      <c r="K47" s="427" t="s">
        <v>493</v>
      </c>
      <c r="L47" s="420">
        <v>5</v>
      </c>
      <c r="M47" s="428">
        <v>5</v>
      </c>
      <c r="N47" s="429" t="s">
        <v>493</v>
      </c>
      <c r="O47" s="430">
        <v>5</v>
      </c>
      <c r="P47" s="431">
        <v>5</v>
      </c>
      <c r="Q47" s="432" t="s">
        <v>493</v>
      </c>
      <c r="R47" s="433" t="s">
        <v>493</v>
      </c>
      <c r="S47" s="434" t="s">
        <v>493</v>
      </c>
      <c r="T47" s="445">
        <v>10</v>
      </c>
    </row>
    <row r="48" spans="1:20" s="304" customFormat="1" ht="15" customHeight="1">
      <c r="A48" s="949"/>
      <c r="B48" s="953" t="s">
        <v>509</v>
      </c>
      <c r="C48" s="954"/>
      <c r="D48" s="954"/>
      <c r="E48" s="955"/>
      <c r="F48" s="491"/>
      <c r="G48" s="466"/>
      <c r="H48" s="467">
        <v>8</v>
      </c>
      <c r="I48" s="468">
        <v>8</v>
      </c>
      <c r="J48" s="469"/>
      <c r="K48" s="470"/>
      <c r="L48" s="471">
        <v>8</v>
      </c>
      <c r="M48" s="482">
        <v>8</v>
      </c>
      <c r="N48" s="473"/>
      <c r="O48" s="474">
        <v>8</v>
      </c>
      <c r="P48" s="475">
        <v>8</v>
      </c>
      <c r="Q48" s="476"/>
      <c r="R48" s="477"/>
      <c r="S48" s="478"/>
      <c r="T48" s="479">
        <v>8</v>
      </c>
    </row>
    <row r="49" spans="1:20" s="304" customFormat="1" ht="15.75" customHeight="1" thickBot="1">
      <c r="A49" s="949"/>
      <c r="B49" s="956" t="s">
        <v>510</v>
      </c>
      <c r="C49" s="957"/>
      <c r="D49" s="957"/>
      <c r="E49" s="958"/>
      <c r="F49" s="465"/>
      <c r="G49" s="498"/>
      <c r="H49" s="492">
        <f>(H47*H48)</f>
        <v>40</v>
      </c>
      <c r="I49" s="493">
        <f>(I47*I48)</f>
        <v>40</v>
      </c>
      <c r="J49" s="499"/>
      <c r="K49" s="500"/>
      <c r="L49" s="494">
        <f>(L47*L48)</f>
        <v>40</v>
      </c>
      <c r="M49" s="495">
        <f>(M47*M48)</f>
        <v>40</v>
      </c>
      <c r="N49" s="501"/>
      <c r="O49" s="496">
        <f>(O47*O48)</f>
        <v>40</v>
      </c>
      <c r="P49" s="497">
        <f>(P47*P48)</f>
        <v>40</v>
      </c>
      <c r="Q49" s="502"/>
      <c r="R49" s="503"/>
      <c r="S49" s="504"/>
      <c r="T49" s="505">
        <f>(T47*T48)</f>
        <v>80</v>
      </c>
    </row>
    <row r="50" spans="1:20" ht="15.75" customHeight="1" thickBot="1">
      <c r="A50" s="942" t="s">
        <v>472</v>
      </c>
      <c r="B50" s="943"/>
      <c r="C50" s="943"/>
      <c r="D50" s="943"/>
      <c r="E50" s="944"/>
      <c r="F50" s="416">
        <f>SUM(F4,F7,F10,F13,F16,F19,F22,F25,F28,F31,F34,F37,F40,F43,F46,F49)</f>
        <v>980</v>
      </c>
      <c r="G50" s="416">
        <f t="shared" ref="G50:T50" si="0">SUM(G4,G7,G10,G13,G16,G19,G22,G25,G28,G31,G34,G37,G40,G43,G46,G49)</f>
        <v>260</v>
      </c>
      <c r="H50" s="416">
        <f t="shared" si="0"/>
        <v>2310</v>
      </c>
      <c r="I50" s="416">
        <f t="shared" si="0"/>
        <v>1030</v>
      </c>
      <c r="J50" s="416">
        <f t="shared" si="0"/>
        <v>0</v>
      </c>
      <c r="K50" s="416">
        <f t="shared" si="0"/>
        <v>0</v>
      </c>
      <c r="L50" s="416">
        <f t="shared" si="0"/>
        <v>2110</v>
      </c>
      <c r="M50" s="416">
        <f t="shared" si="0"/>
        <v>1420</v>
      </c>
      <c r="N50" s="416">
        <f t="shared" si="0"/>
        <v>0</v>
      </c>
      <c r="O50" s="416">
        <f t="shared" si="0"/>
        <v>1465</v>
      </c>
      <c r="P50" s="416">
        <f t="shared" si="0"/>
        <v>1047</v>
      </c>
      <c r="Q50" s="416">
        <f t="shared" si="0"/>
        <v>180</v>
      </c>
      <c r="R50" s="416">
        <f t="shared" si="0"/>
        <v>260</v>
      </c>
      <c r="S50" s="416">
        <f t="shared" si="0"/>
        <v>260</v>
      </c>
      <c r="T50" s="416">
        <f t="shared" si="0"/>
        <v>140</v>
      </c>
    </row>
    <row r="51" spans="1:20" ht="15.75" customHeight="1" thickBot="1">
      <c r="A51" s="945" t="s">
        <v>473</v>
      </c>
      <c r="B51" s="946"/>
      <c r="C51" s="946"/>
      <c r="D51" s="946"/>
      <c r="E51" s="947"/>
      <c r="F51" s="416">
        <f>F50/12</f>
        <v>81.666666666666671</v>
      </c>
      <c r="G51" s="416">
        <f t="shared" ref="G51:T51" si="1">G50/12</f>
        <v>21.666666666666668</v>
      </c>
      <c r="H51" s="416">
        <f t="shared" si="1"/>
        <v>192.5</v>
      </c>
      <c r="I51" s="416">
        <f t="shared" si="1"/>
        <v>85.833333333333329</v>
      </c>
      <c r="J51" s="416">
        <f t="shared" si="1"/>
        <v>0</v>
      </c>
      <c r="K51" s="416">
        <f t="shared" si="1"/>
        <v>0</v>
      </c>
      <c r="L51" s="416">
        <f t="shared" si="1"/>
        <v>175.83333333333334</v>
      </c>
      <c r="M51" s="416">
        <f t="shared" si="1"/>
        <v>118.33333333333333</v>
      </c>
      <c r="N51" s="416">
        <f t="shared" si="1"/>
        <v>0</v>
      </c>
      <c r="O51" s="416">
        <f t="shared" si="1"/>
        <v>122.08333333333333</v>
      </c>
      <c r="P51" s="416">
        <f t="shared" si="1"/>
        <v>87.25</v>
      </c>
      <c r="Q51" s="416">
        <f t="shared" si="1"/>
        <v>15</v>
      </c>
      <c r="R51" s="416">
        <f t="shared" si="1"/>
        <v>21.666666666666668</v>
      </c>
      <c r="S51" s="416">
        <f t="shared" si="1"/>
        <v>21.666666666666668</v>
      </c>
      <c r="T51" s="416">
        <f t="shared" si="1"/>
        <v>11.666666666666666</v>
      </c>
    </row>
  </sheetData>
  <mergeCells count="53">
    <mergeCell ref="A32:A49"/>
    <mergeCell ref="B39:E39"/>
    <mergeCell ref="B40:E40"/>
    <mergeCell ref="B42:E42"/>
    <mergeCell ref="B43:E43"/>
    <mergeCell ref="B45:E45"/>
    <mergeCell ref="B46:E46"/>
    <mergeCell ref="B34:E34"/>
    <mergeCell ref="B27:E27"/>
    <mergeCell ref="B28:E28"/>
    <mergeCell ref="B30:E30"/>
    <mergeCell ref="B31:E31"/>
    <mergeCell ref="B33:E33"/>
    <mergeCell ref="C26:D26"/>
    <mergeCell ref="B25:E25"/>
    <mergeCell ref="B9:E9"/>
    <mergeCell ref="B10:E10"/>
    <mergeCell ref="B12:E12"/>
    <mergeCell ref="B13:E13"/>
    <mergeCell ref="B15:E15"/>
    <mergeCell ref="B16:E16"/>
    <mergeCell ref="B18:E18"/>
    <mergeCell ref="B19:E19"/>
    <mergeCell ref="B21:E21"/>
    <mergeCell ref="B22:E22"/>
    <mergeCell ref="B24:E24"/>
    <mergeCell ref="C11:D11"/>
    <mergeCell ref="C14:D14"/>
    <mergeCell ref="C17:D17"/>
    <mergeCell ref="C20:D20"/>
    <mergeCell ref="C23:D23"/>
    <mergeCell ref="C5:D5"/>
    <mergeCell ref="C8:D8"/>
    <mergeCell ref="B3:E3"/>
    <mergeCell ref="B4:E4"/>
    <mergeCell ref="B6:E6"/>
    <mergeCell ref="B7:E7"/>
    <mergeCell ref="A50:E50"/>
    <mergeCell ref="A51:E51"/>
    <mergeCell ref="A2:A31"/>
    <mergeCell ref="A1:E1"/>
    <mergeCell ref="B48:E48"/>
    <mergeCell ref="B49:E49"/>
    <mergeCell ref="C29:D29"/>
    <mergeCell ref="C32:D32"/>
    <mergeCell ref="C35:D35"/>
    <mergeCell ref="C38:D38"/>
    <mergeCell ref="C41:D41"/>
    <mergeCell ref="C44:D44"/>
    <mergeCell ref="C47:D47"/>
    <mergeCell ref="B36:E36"/>
    <mergeCell ref="B37:E37"/>
    <mergeCell ref="C2:D2"/>
  </mergeCells>
  <pageMargins left="0.511811024" right="0.511811024" top="0.78740157499999996" bottom="0.78740157499999996" header="0.31496062000000002" footer="0.31496062000000002"/>
  <pageSetup paperSize="9" scale="6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224"/>
  <sheetViews>
    <sheetView tabSelected="1" zoomScaleNormal="100" workbookViewId="0">
      <pane ySplit="1" topLeftCell="A215" activePane="bottomLeft" state="frozen"/>
      <selection pane="bottomLeft" activeCell="H228" sqref="H228"/>
    </sheetView>
  </sheetViews>
  <sheetFormatPr defaultRowHeight="15"/>
  <cols>
    <col min="1" max="1" width="25.85546875" customWidth="1"/>
    <col min="2" max="2" width="18.7109375" style="515" bestFit="1" customWidth="1"/>
    <col min="3" max="3" width="18.42578125" customWidth="1"/>
    <col min="4" max="4" width="16" customWidth="1"/>
    <col min="5" max="5" width="25.7109375" customWidth="1"/>
    <col min="6" max="6" width="11.28515625" customWidth="1"/>
    <col min="7" max="7" width="10.85546875" customWidth="1"/>
    <col min="8" max="8" width="10.28515625" customWidth="1"/>
    <col min="9" max="9" width="11.85546875" customWidth="1"/>
    <col min="10" max="10" width="10.5703125" customWidth="1"/>
    <col min="11" max="11" width="11.28515625" customWidth="1"/>
    <col min="12" max="12" width="12.42578125" customWidth="1"/>
    <col min="13" max="13" width="10.7109375" customWidth="1"/>
    <col min="14" max="14" width="10.42578125" customWidth="1"/>
    <col min="15" max="15" width="10" customWidth="1"/>
    <col min="16" max="16" width="10.140625" customWidth="1"/>
    <col min="17" max="17" width="10.85546875" customWidth="1"/>
    <col min="18" max="18" width="12.28515625" customWidth="1"/>
    <col min="19" max="19" width="10.140625" customWidth="1"/>
    <col min="20" max="20" width="11.28515625" customWidth="1"/>
  </cols>
  <sheetData>
    <row r="1" spans="1:20" ht="44.25">
      <c r="A1" s="516" t="s">
        <v>610</v>
      </c>
      <c r="B1" s="517" t="s">
        <v>513</v>
      </c>
      <c r="C1" s="963" t="s">
        <v>464</v>
      </c>
      <c r="D1" s="964"/>
      <c r="E1" s="516" t="s">
        <v>609</v>
      </c>
      <c r="F1" s="449" t="s">
        <v>494</v>
      </c>
      <c r="G1" s="450" t="s">
        <v>495</v>
      </c>
      <c r="H1" s="451" t="s">
        <v>496</v>
      </c>
      <c r="I1" s="452" t="s">
        <v>497</v>
      </c>
      <c r="J1" s="453" t="s">
        <v>498</v>
      </c>
      <c r="K1" s="454" t="s">
        <v>499</v>
      </c>
      <c r="L1" s="455" t="s">
        <v>500</v>
      </c>
      <c r="M1" s="456" t="s">
        <v>501</v>
      </c>
      <c r="N1" s="457" t="s">
        <v>502</v>
      </c>
      <c r="O1" s="458" t="s">
        <v>503</v>
      </c>
      <c r="P1" s="459" t="s">
        <v>504</v>
      </c>
      <c r="Q1" s="460" t="s">
        <v>505</v>
      </c>
      <c r="R1" s="461" t="s">
        <v>506</v>
      </c>
      <c r="S1" s="462" t="s">
        <v>507</v>
      </c>
      <c r="T1" s="463" t="s">
        <v>508</v>
      </c>
    </row>
    <row r="2" spans="1:20" ht="24" customHeight="1">
      <c r="A2" s="948" t="s">
        <v>611</v>
      </c>
      <c r="B2" s="568">
        <v>1</v>
      </c>
      <c r="C2" s="959" t="s">
        <v>583</v>
      </c>
      <c r="D2" s="960"/>
      <c r="E2" s="419" t="s">
        <v>400</v>
      </c>
      <c r="F2" s="447">
        <v>1</v>
      </c>
      <c r="G2" s="518">
        <v>2</v>
      </c>
      <c r="H2" s="424">
        <v>2</v>
      </c>
      <c r="I2" s="425">
        <v>2</v>
      </c>
      <c r="J2" s="519">
        <v>1</v>
      </c>
      <c r="K2" s="520">
        <v>1</v>
      </c>
      <c r="L2" s="420">
        <v>1</v>
      </c>
      <c r="M2" s="428">
        <v>1</v>
      </c>
      <c r="N2" s="521">
        <v>1</v>
      </c>
      <c r="O2" s="430">
        <v>1</v>
      </c>
      <c r="P2" s="431">
        <v>1</v>
      </c>
      <c r="Q2" s="448">
        <v>1</v>
      </c>
      <c r="R2" s="443">
        <v>1</v>
      </c>
      <c r="S2" s="444">
        <v>1</v>
      </c>
      <c r="T2" s="445">
        <v>1</v>
      </c>
    </row>
    <row r="3" spans="1:20">
      <c r="A3" s="949"/>
      <c r="B3" s="953" t="s">
        <v>509</v>
      </c>
      <c r="C3" s="954"/>
      <c r="D3" s="954"/>
      <c r="E3" s="955"/>
      <c r="F3" s="419">
        <v>5</v>
      </c>
      <c r="G3" s="419">
        <v>5</v>
      </c>
      <c r="H3" s="419">
        <v>5</v>
      </c>
      <c r="I3" s="419">
        <v>5</v>
      </c>
      <c r="J3" s="419">
        <v>5</v>
      </c>
      <c r="K3" s="419">
        <v>5</v>
      </c>
      <c r="L3" s="419">
        <v>5</v>
      </c>
      <c r="M3" s="419">
        <v>5</v>
      </c>
      <c r="N3" s="419">
        <v>5</v>
      </c>
      <c r="O3" s="419">
        <v>5</v>
      </c>
      <c r="P3" s="419">
        <v>5</v>
      </c>
      <c r="Q3" s="419">
        <v>5</v>
      </c>
      <c r="R3" s="419">
        <v>5</v>
      </c>
      <c r="S3" s="419">
        <v>5</v>
      </c>
      <c r="T3" s="419">
        <v>5</v>
      </c>
    </row>
    <row r="4" spans="1:20">
      <c r="A4" s="949"/>
      <c r="B4" s="953" t="s">
        <v>510</v>
      </c>
      <c r="C4" s="954"/>
      <c r="D4" s="954"/>
      <c r="E4" s="955"/>
      <c r="F4" s="447">
        <f>F3*F2</f>
        <v>5</v>
      </c>
      <c r="G4" s="518">
        <f>G3*G2</f>
        <v>10</v>
      </c>
      <c r="H4" s="518">
        <f t="shared" ref="H4:T4" si="0">H3*H2</f>
        <v>10</v>
      </c>
      <c r="I4" s="518">
        <f t="shared" si="0"/>
        <v>10</v>
      </c>
      <c r="J4" s="518">
        <f t="shared" si="0"/>
        <v>5</v>
      </c>
      <c r="K4" s="518">
        <f t="shared" si="0"/>
        <v>5</v>
      </c>
      <c r="L4" s="518">
        <f t="shared" si="0"/>
        <v>5</v>
      </c>
      <c r="M4" s="518">
        <f t="shared" si="0"/>
        <v>5</v>
      </c>
      <c r="N4" s="518">
        <f t="shared" si="0"/>
        <v>5</v>
      </c>
      <c r="O4" s="518">
        <f t="shared" si="0"/>
        <v>5</v>
      </c>
      <c r="P4" s="518">
        <f t="shared" si="0"/>
        <v>5</v>
      </c>
      <c r="Q4" s="518">
        <f t="shared" si="0"/>
        <v>5</v>
      </c>
      <c r="R4" s="518">
        <f t="shared" si="0"/>
        <v>5</v>
      </c>
      <c r="S4" s="518">
        <f t="shared" si="0"/>
        <v>5</v>
      </c>
      <c r="T4" s="518">
        <f t="shared" si="0"/>
        <v>5</v>
      </c>
    </row>
    <row r="5" spans="1:20" ht="63.75" customHeight="1">
      <c r="A5" s="949"/>
      <c r="B5" s="568">
        <v>2</v>
      </c>
      <c r="C5" s="959" t="s">
        <v>582</v>
      </c>
      <c r="D5" s="960"/>
      <c r="E5" s="419" t="s">
        <v>612</v>
      </c>
      <c r="F5" s="447">
        <v>2</v>
      </c>
      <c r="G5" s="518">
        <v>2</v>
      </c>
      <c r="H5" s="424">
        <v>5</v>
      </c>
      <c r="I5" s="425">
        <v>1</v>
      </c>
      <c r="J5" s="519">
        <v>2</v>
      </c>
      <c r="K5" s="520">
        <v>2</v>
      </c>
      <c r="L5" s="420">
        <v>5</v>
      </c>
      <c r="M5" s="428">
        <v>5</v>
      </c>
      <c r="N5" s="521">
        <v>2</v>
      </c>
      <c r="O5" s="430">
        <v>2</v>
      </c>
      <c r="P5" s="431">
        <v>1</v>
      </c>
      <c r="Q5" s="448">
        <v>1</v>
      </c>
      <c r="R5" s="443">
        <v>1</v>
      </c>
      <c r="S5" s="444">
        <v>1</v>
      </c>
      <c r="T5" s="445">
        <v>2</v>
      </c>
    </row>
    <row r="6" spans="1:20">
      <c r="A6" s="949"/>
      <c r="B6" s="953" t="s">
        <v>509</v>
      </c>
      <c r="C6" s="954"/>
      <c r="D6" s="954"/>
      <c r="E6" s="955"/>
      <c r="F6" s="419">
        <v>8</v>
      </c>
      <c r="G6" s="419">
        <v>8</v>
      </c>
      <c r="H6" s="419">
        <v>8</v>
      </c>
      <c r="I6" s="419">
        <v>8</v>
      </c>
      <c r="J6" s="419">
        <v>8</v>
      </c>
      <c r="K6" s="419">
        <v>8</v>
      </c>
      <c r="L6" s="419">
        <v>8</v>
      </c>
      <c r="M6" s="419">
        <v>8</v>
      </c>
      <c r="N6" s="419">
        <v>8</v>
      </c>
      <c r="O6" s="419">
        <v>8</v>
      </c>
      <c r="P6" s="419">
        <v>8</v>
      </c>
      <c r="Q6" s="419">
        <v>8</v>
      </c>
      <c r="R6" s="419">
        <v>8</v>
      </c>
      <c r="S6" s="419">
        <v>8</v>
      </c>
      <c r="T6" s="419">
        <v>8</v>
      </c>
    </row>
    <row r="7" spans="1:20">
      <c r="A7" s="949"/>
      <c r="B7" s="953" t="s">
        <v>510</v>
      </c>
      <c r="C7" s="954"/>
      <c r="D7" s="954"/>
      <c r="E7" s="955"/>
      <c r="F7" s="447">
        <f>F6*F5</f>
        <v>16</v>
      </c>
      <c r="G7" s="518">
        <f>G6*G5</f>
        <v>16</v>
      </c>
      <c r="H7" s="518">
        <f t="shared" ref="H7:T7" si="1">H6*H5</f>
        <v>40</v>
      </c>
      <c r="I7" s="518">
        <f t="shared" si="1"/>
        <v>8</v>
      </c>
      <c r="J7" s="518">
        <f t="shared" si="1"/>
        <v>16</v>
      </c>
      <c r="K7" s="518">
        <f t="shared" si="1"/>
        <v>16</v>
      </c>
      <c r="L7" s="518">
        <f t="shared" si="1"/>
        <v>40</v>
      </c>
      <c r="M7" s="518">
        <f t="shared" si="1"/>
        <v>40</v>
      </c>
      <c r="N7" s="518">
        <f t="shared" si="1"/>
        <v>16</v>
      </c>
      <c r="O7" s="518">
        <f t="shared" si="1"/>
        <v>16</v>
      </c>
      <c r="P7" s="518">
        <f t="shared" si="1"/>
        <v>8</v>
      </c>
      <c r="Q7" s="518">
        <f t="shared" si="1"/>
        <v>8</v>
      </c>
      <c r="R7" s="518">
        <f t="shared" si="1"/>
        <v>8</v>
      </c>
      <c r="S7" s="518">
        <f t="shared" si="1"/>
        <v>8</v>
      </c>
      <c r="T7" s="518">
        <f t="shared" si="1"/>
        <v>16</v>
      </c>
    </row>
    <row r="8" spans="1:20" ht="84.75" customHeight="1">
      <c r="A8" s="949"/>
      <c r="B8" s="568">
        <v>3</v>
      </c>
      <c r="C8" s="959" t="s">
        <v>581</v>
      </c>
      <c r="D8" s="960"/>
      <c r="E8" s="419" t="s">
        <v>400</v>
      </c>
      <c r="F8" s="447">
        <v>6</v>
      </c>
      <c r="G8" s="442">
        <v>5</v>
      </c>
      <c r="H8" s="424">
        <v>5</v>
      </c>
      <c r="I8" s="425">
        <v>8</v>
      </c>
      <c r="J8" s="519">
        <v>6</v>
      </c>
      <c r="K8" s="520">
        <v>6</v>
      </c>
      <c r="L8" s="420">
        <v>12</v>
      </c>
      <c r="M8" s="428">
        <v>8</v>
      </c>
      <c r="N8" s="521">
        <v>6</v>
      </c>
      <c r="O8" s="430">
        <v>6</v>
      </c>
      <c r="P8" s="431">
        <v>6</v>
      </c>
      <c r="Q8" s="448">
        <v>12</v>
      </c>
      <c r="R8" s="443">
        <v>6</v>
      </c>
      <c r="S8" s="444">
        <v>6</v>
      </c>
      <c r="T8" s="445">
        <v>12</v>
      </c>
    </row>
    <row r="9" spans="1:20">
      <c r="A9" s="949"/>
      <c r="B9" s="953" t="s">
        <v>509</v>
      </c>
      <c r="C9" s="954"/>
      <c r="D9" s="954"/>
      <c r="E9" s="955"/>
      <c r="F9" s="419">
        <v>6</v>
      </c>
      <c r="G9" s="419">
        <v>6</v>
      </c>
      <c r="H9" s="419">
        <v>6</v>
      </c>
      <c r="I9" s="419">
        <v>6</v>
      </c>
      <c r="J9" s="419">
        <v>6</v>
      </c>
      <c r="K9" s="419">
        <v>6</v>
      </c>
      <c r="L9" s="419">
        <v>6</v>
      </c>
      <c r="M9" s="419">
        <v>6</v>
      </c>
      <c r="N9" s="419">
        <v>6</v>
      </c>
      <c r="O9" s="419">
        <v>6</v>
      </c>
      <c r="P9" s="419">
        <v>6</v>
      </c>
      <c r="Q9" s="419">
        <v>6</v>
      </c>
      <c r="R9" s="419">
        <v>6</v>
      </c>
      <c r="S9" s="419">
        <v>6</v>
      </c>
      <c r="T9" s="419">
        <v>6</v>
      </c>
    </row>
    <row r="10" spans="1:20">
      <c r="A10" s="949"/>
      <c r="B10" s="953" t="s">
        <v>510</v>
      </c>
      <c r="C10" s="954"/>
      <c r="D10" s="954"/>
      <c r="E10" s="955"/>
      <c r="F10" s="447">
        <f>F9*F8</f>
        <v>36</v>
      </c>
      <c r="G10" s="518">
        <f>G9*G8</f>
        <v>30</v>
      </c>
      <c r="H10" s="518">
        <f t="shared" ref="H10:T10" si="2">H9*H8</f>
        <v>30</v>
      </c>
      <c r="I10" s="518">
        <f t="shared" si="2"/>
        <v>48</v>
      </c>
      <c r="J10" s="518">
        <f t="shared" si="2"/>
        <v>36</v>
      </c>
      <c r="K10" s="518">
        <f t="shared" si="2"/>
        <v>36</v>
      </c>
      <c r="L10" s="518">
        <f t="shared" si="2"/>
        <v>72</v>
      </c>
      <c r="M10" s="518">
        <f t="shared" si="2"/>
        <v>48</v>
      </c>
      <c r="N10" s="518">
        <f t="shared" si="2"/>
        <v>36</v>
      </c>
      <c r="O10" s="518">
        <f t="shared" si="2"/>
        <v>36</v>
      </c>
      <c r="P10" s="518">
        <f t="shared" si="2"/>
        <v>36</v>
      </c>
      <c r="Q10" s="518">
        <f t="shared" si="2"/>
        <v>72</v>
      </c>
      <c r="R10" s="518">
        <f t="shared" si="2"/>
        <v>36</v>
      </c>
      <c r="S10" s="518">
        <f t="shared" si="2"/>
        <v>36</v>
      </c>
      <c r="T10" s="518">
        <f t="shared" si="2"/>
        <v>72</v>
      </c>
    </row>
    <row r="11" spans="1:20" ht="52.5" customHeight="1">
      <c r="A11" s="949"/>
      <c r="B11" s="568">
        <v>4</v>
      </c>
      <c r="C11" s="959" t="s">
        <v>580</v>
      </c>
      <c r="D11" s="960"/>
      <c r="E11" s="419" t="s">
        <v>400</v>
      </c>
      <c r="F11" s="446">
        <v>8</v>
      </c>
      <c r="G11" s="518">
        <v>8</v>
      </c>
      <c r="H11" s="522">
        <v>12</v>
      </c>
      <c r="I11" s="425">
        <v>10</v>
      </c>
      <c r="J11" s="519">
        <v>5</v>
      </c>
      <c r="K11" s="520">
        <v>5</v>
      </c>
      <c r="L11" s="420">
        <v>10</v>
      </c>
      <c r="M11" s="428">
        <v>8</v>
      </c>
      <c r="N11" s="521">
        <v>5</v>
      </c>
      <c r="O11" s="430">
        <v>5</v>
      </c>
      <c r="P11" s="431">
        <v>4</v>
      </c>
      <c r="Q11" s="448">
        <v>5</v>
      </c>
      <c r="R11" s="443">
        <v>4</v>
      </c>
      <c r="S11" s="444">
        <v>4</v>
      </c>
      <c r="T11" s="445">
        <v>6</v>
      </c>
    </row>
    <row r="12" spans="1:20">
      <c r="A12" s="949"/>
      <c r="B12" s="953" t="s">
        <v>509</v>
      </c>
      <c r="C12" s="954"/>
      <c r="D12" s="954"/>
      <c r="E12" s="955"/>
      <c r="F12" s="419">
        <v>4</v>
      </c>
      <c r="G12" s="419">
        <v>4</v>
      </c>
      <c r="H12" s="419">
        <v>4</v>
      </c>
      <c r="I12" s="419">
        <v>4</v>
      </c>
      <c r="J12" s="419">
        <v>4</v>
      </c>
      <c r="K12" s="419">
        <v>4</v>
      </c>
      <c r="L12" s="419">
        <v>4</v>
      </c>
      <c r="M12" s="419">
        <v>4</v>
      </c>
      <c r="N12" s="419">
        <v>4</v>
      </c>
      <c r="O12" s="419">
        <v>4</v>
      </c>
      <c r="P12" s="419">
        <v>4</v>
      </c>
      <c r="Q12" s="419">
        <v>4</v>
      </c>
      <c r="R12" s="419">
        <v>4</v>
      </c>
      <c r="S12" s="419">
        <v>4</v>
      </c>
      <c r="T12" s="419">
        <v>4</v>
      </c>
    </row>
    <row r="13" spans="1:20">
      <c r="A13" s="949"/>
      <c r="B13" s="953" t="s">
        <v>510</v>
      </c>
      <c r="C13" s="954"/>
      <c r="D13" s="954"/>
      <c r="E13" s="955"/>
      <c r="F13" s="447">
        <f>F12*F11</f>
        <v>32</v>
      </c>
      <c r="G13" s="518">
        <f>G12*G11</f>
        <v>32</v>
      </c>
      <c r="H13" s="518">
        <f t="shared" ref="H13:T13" si="3">H12*H11</f>
        <v>48</v>
      </c>
      <c r="I13" s="518">
        <f t="shared" si="3"/>
        <v>40</v>
      </c>
      <c r="J13" s="518">
        <f t="shared" si="3"/>
        <v>20</v>
      </c>
      <c r="K13" s="518">
        <f t="shared" si="3"/>
        <v>20</v>
      </c>
      <c r="L13" s="518">
        <f t="shared" si="3"/>
        <v>40</v>
      </c>
      <c r="M13" s="518">
        <f t="shared" si="3"/>
        <v>32</v>
      </c>
      <c r="N13" s="518">
        <f t="shared" si="3"/>
        <v>20</v>
      </c>
      <c r="O13" s="518">
        <f t="shared" si="3"/>
        <v>20</v>
      </c>
      <c r="P13" s="518">
        <f t="shared" si="3"/>
        <v>16</v>
      </c>
      <c r="Q13" s="518">
        <f t="shared" si="3"/>
        <v>20</v>
      </c>
      <c r="R13" s="518">
        <f t="shared" si="3"/>
        <v>16</v>
      </c>
      <c r="S13" s="518">
        <f t="shared" si="3"/>
        <v>16</v>
      </c>
      <c r="T13" s="518">
        <f t="shared" si="3"/>
        <v>24</v>
      </c>
    </row>
    <row r="14" spans="1:20" ht="61.5" customHeight="1">
      <c r="A14" s="949"/>
      <c r="B14" s="568">
        <v>5</v>
      </c>
      <c r="C14" s="959" t="s">
        <v>579</v>
      </c>
      <c r="D14" s="960"/>
      <c r="E14" s="419" t="s">
        <v>400</v>
      </c>
      <c r="F14" s="446">
        <v>8</v>
      </c>
      <c r="G14" s="518">
        <v>8</v>
      </c>
      <c r="H14" s="522">
        <v>12</v>
      </c>
      <c r="I14" s="425">
        <v>10</v>
      </c>
      <c r="J14" s="519">
        <v>5</v>
      </c>
      <c r="K14" s="520">
        <v>5</v>
      </c>
      <c r="L14" s="420">
        <v>6</v>
      </c>
      <c r="M14" s="428">
        <v>8</v>
      </c>
      <c r="N14" s="521">
        <v>5</v>
      </c>
      <c r="O14" s="430">
        <v>5</v>
      </c>
      <c r="P14" s="431">
        <v>5</v>
      </c>
      <c r="Q14" s="448">
        <v>5</v>
      </c>
      <c r="R14" s="443">
        <v>4</v>
      </c>
      <c r="S14" s="444">
        <v>4</v>
      </c>
      <c r="T14" s="445">
        <v>6</v>
      </c>
    </row>
    <row r="15" spans="1:20">
      <c r="A15" s="949"/>
      <c r="B15" s="953" t="s">
        <v>509</v>
      </c>
      <c r="C15" s="954"/>
      <c r="D15" s="954"/>
      <c r="E15" s="955"/>
      <c r="F15" s="419">
        <v>4</v>
      </c>
      <c r="G15" s="419">
        <v>4</v>
      </c>
      <c r="H15" s="419">
        <v>4</v>
      </c>
      <c r="I15" s="419">
        <v>4</v>
      </c>
      <c r="J15" s="419">
        <v>4</v>
      </c>
      <c r="K15" s="419">
        <v>4</v>
      </c>
      <c r="L15" s="419">
        <v>4</v>
      </c>
      <c r="M15" s="419">
        <v>4</v>
      </c>
      <c r="N15" s="419">
        <v>4</v>
      </c>
      <c r="O15" s="419">
        <v>4</v>
      </c>
      <c r="P15" s="419">
        <v>4</v>
      </c>
      <c r="Q15" s="419">
        <v>4</v>
      </c>
      <c r="R15" s="419">
        <v>4</v>
      </c>
      <c r="S15" s="419">
        <v>4</v>
      </c>
      <c r="T15" s="419">
        <v>4</v>
      </c>
    </row>
    <row r="16" spans="1:20">
      <c r="A16" s="949"/>
      <c r="B16" s="953" t="s">
        <v>510</v>
      </c>
      <c r="C16" s="954"/>
      <c r="D16" s="954"/>
      <c r="E16" s="955"/>
      <c r="F16" s="447">
        <f>F15*F14</f>
        <v>32</v>
      </c>
      <c r="G16" s="518">
        <f>G15*G14</f>
        <v>32</v>
      </c>
      <c r="H16" s="518">
        <f t="shared" ref="H16:T16" si="4">H15*H14</f>
        <v>48</v>
      </c>
      <c r="I16" s="518">
        <f t="shared" si="4"/>
        <v>40</v>
      </c>
      <c r="J16" s="518">
        <f t="shared" si="4"/>
        <v>20</v>
      </c>
      <c r="K16" s="518">
        <f t="shared" si="4"/>
        <v>20</v>
      </c>
      <c r="L16" s="518">
        <f t="shared" si="4"/>
        <v>24</v>
      </c>
      <c r="M16" s="518">
        <f t="shared" si="4"/>
        <v>32</v>
      </c>
      <c r="N16" s="518">
        <f t="shared" si="4"/>
        <v>20</v>
      </c>
      <c r="O16" s="518">
        <f t="shared" si="4"/>
        <v>20</v>
      </c>
      <c r="P16" s="518">
        <f t="shared" si="4"/>
        <v>20</v>
      </c>
      <c r="Q16" s="518">
        <f t="shared" si="4"/>
        <v>20</v>
      </c>
      <c r="R16" s="518">
        <f t="shared" si="4"/>
        <v>16</v>
      </c>
      <c r="S16" s="518">
        <f t="shared" si="4"/>
        <v>16</v>
      </c>
      <c r="T16" s="518">
        <f t="shared" si="4"/>
        <v>24</v>
      </c>
    </row>
    <row r="17" spans="1:20" ht="87" customHeight="1">
      <c r="A17" s="949"/>
      <c r="B17" s="568">
        <v>6</v>
      </c>
      <c r="C17" s="959" t="s">
        <v>613</v>
      </c>
      <c r="D17" s="960"/>
      <c r="E17" s="419" t="s">
        <v>614</v>
      </c>
      <c r="F17" s="446">
        <v>6</v>
      </c>
      <c r="G17" s="518">
        <v>6</v>
      </c>
      <c r="H17" s="522">
        <v>12</v>
      </c>
      <c r="I17" s="425">
        <v>6</v>
      </c>
      <c r="J17" s="519">
        <v>6</v>
      </c>
      <c r="K17" s="520">
        <v>6</v>
      </c>
      <c r="L17" s="420">
        <v>12</v>
      </c>
      <c r="M17" s="428">
        <v>12</v>
      </c>
      <c r="N17" s="521">
        <v>6</v>
      </c>
      <c r="O17" s="430">
        <v>4</v>
      </c>
      <c r="P17" s="431">
        <v>4</v>
      </c>
      <c r="Q17" s="448">
        <v>5</v>
      </c>
      <c r="R17" s="443">
        <v>3</v>
      </c>
      <c r="S17" s="444">
        <v>3</v>
      </c>
      <c r="T17" s="445">
        <v>6</v>
      </c>
    </row>
    <row r="18" spans="1:20">
      <c r="A18" s="949"/>
      <c r="B18" s="953" t="s">
        <v>509</v>
      </c>
      <c r="C18" s="954"/>
      <c r="D18" s="954"/>
      <c r="E18" s="955"/>
      <c r="F18" s="419">
        <v>5</v>
      </c>
      <c r="G18" s="419">
        <v>5</v>
      </c>
      <c r="H18" s="419">
        <v>5</v>
      </c>
      <c r="I18" s="419">
        <v>5</v>
      </c>
      <c r="J18" s="419">
        <v>5</v>
      </c>
      <c r="K18" s="419">
        <v>5</v>
      </c>
      <c r="L18" s="419">
        <v>5</v>
      </c>
      <c r="M18" s="419">
        <v>5</v>
      </c>
      <c r="N18" s="419">
        <v>5</v>
      </c>
      <c r="O18" s="419">
        <v>5</v>
      </c>
      <c r="P18" s="419">
        <v>5</v>
      </c>
      <c r="Q18" s="419">
        <v>5</v>
      </c>
      <c r="R18" s="419">
        <v>5</v>
      </c>
      <c r="S18" s="419">
        <v>5</v>
      </c>
      <c r="T18" s="419">
        <v>5</v>
      </c>
    </row>
    <row r="19" spans="1:20">
      <c r="A19" s="949"/>
      <c r="B19" s="953" t="s">
        <v>510</v>
      </c>
      <c r="C19" s="954"/>
      <c r="D19" s="954"/>
      <c r="E19" s="955"/>
      <c r="F19" s="447">
        <f>F18*F17</f>
        <v>30</v>
      </c>
      <c r="G19" s="518">
        <f>G18*G17</f>
        <v>30</v>
      </c>
      <c r="H19" s="518">
        <f t="shared" ref="H19:T19" si="5">H18*H17</f>
        <v>60</v>
      </c>
      <c r="I19" s="518">
        <f t="shared" si="5"/>
        <v>30</v>
      </c>
      <c r="J19" s="518">
        <f t="shared" si="5"/>
        <v>30</v>
      </c>
      <c r="K19" s="518">
        <f t="shared" si="5"/>
        <v>30</v>
      </c>
      <c r="L19" s="518">
        <f t="shared" si="5"/>
        <v>60</v>
      </c>
      <c r="M19" s="518">
        <f t="shared" si="5"/>
        <v>60</v>
      </c>
      <c r="N19" s="518">
        <f t="shared" si="5"/>
        <v>30</v>
      </c>
      <c r="O19" s="518">
        <f t="shared" si="5"/>
        <v>20</v>
      </c>
      <c r="P19" s="518">
        <f t="shared" si="5"/>
        <v>20</v>
      </c>
      <c r="Q19" s="518">
        <f t="shared" si="5"/>
        <v>25</v>
      </c>
      <c r="R19" s="518">
        <f t="shared" si="5"/>
        <v>15</v>
      </c>
      <c r="S19" s="518">
        <f t="shared" si="5"/>
        <v>15</v>
      </c>
      <c r="T19" s="518">
        <f t="shared" si="5"/>
        <v>30</v>
      </c>
    </row>
    <row r="20" spans="1:20" ht="54.75" customHeight="1">
      <c r="A20" s="949"/>
      <c r="B20" s="568">
        <v>7</v>
      </c>
      <c r="C20" s="959" t="s">
        <v>563</v>
      </c>
      <c r="D20" s="960"/>
      <c r="E20" s="419" t="s">
        <v>400</v>
      </c>
      <c r="F20" s="447">
        <v>1</v>
      </c>
      <c r="G20" s="518">
        <v>1</v>
      </c>
      <c r="H20" s="424">
        <v>1</v>
      </c>
      <c r="I20" s="425">
        <v>1</v>
      </c>
      <c r="J20" s="519">
        <v>1</v>
      </c>
      <c r="K20" s="520">
        <v>1</v>
      </c>
      <c r="L20" s="420">
        <v>1</v>
      </c>
      <c r="M20" s="428">
        <v>1</v>
      </c>
      <c r="N20" s="521">
        <v>1</v>
      </c>
      <c r="O20" s="430">
        <v>1</v>
      </c>
      <c r="P20" s="431">
        <v>1</v>
      </c>
      <c r="Q20" s="448">
        <v>1</v>
      </c>
      <c r="R20" s="443">
        <v>1</v>
      </c>
      <c r="S20" s="444">
        <v>1</v>
      </c>
      <c r="T20" s="445">
        <v>1</v>
      </c>
    </row>
    <row r="21" spans="1:20">
      <c r="A21" s="949"/>
      <c r="B21" s="953" t="s">
        <v>509</v>
      </c>
      <c r="C21" s="954"/>
      <c r="D21" s="954"/>
      <c r="E21" s="955"/>
      <c r="F21" s="419">
        <v>10</v>
      </c>
      <c r="G21" s="419">
        <v>10</v>
      </c>
      <c r="H21" s="419">
        <v>10</v>
      </c>
      <c r="I21" s="419">
        <v>10</v>
      </c>
      <c r="J21" s="419">
        <v>10</v>
      </c>
      <c r="K21" s="419">
        <v>10</v>
      </c>
      <c r="L21" s="419">
        <v>10</v>
      </c>
      <c r="M21" s="419">
        <v>10</v>
      </c>
      <c r="N21" s="419">
        <v>10</v>
      </c>
      <c r="O21" s="419">
        <v>10</v>
      </c>
      <c r="P21" s="419">
        <v>10</v>
      </c>
      <c r="Q21" s="419">
        <v>10</v>
      </c>
      <c r="R21" s="419">
        <v>10</v>
      </c>
      <c r="S21" s="419">
        <v>10</v>
      </c>
      <c r="T21" s="419">
        <v>10</v>
      </c>
    </row>
    <row r="22" spans="1:20">
      <c r="A22" s="949"/>
      <c r="B22" s="953" t="s">
        <v>510</v>
      </c>
      <c r="C22" s="954"/>
      <c r="D22" s="954"/>
      <c r="E22" s="955"/>
      <c r="F22" s="447">
        <f>F21*F20</f>
        <v>10</v>
      </c>
      <c r="G22" s="518">
        <f>G21*G20</f>
        <v>10</v>
      </c>
      <c r="H22" s="518">
        <f t="shared" ref="H22:T22" si="6">H21*H20</f>
        <v>10</v>
      </c>
      <c r="I22" s="518">
        <f t="shared" si="6"/>
        <v>10</v>
      </c>
      <c r="J22" s="518">
        <f t="shared" si="6"/>
        <v>10</v>
      </c>
      <c r="K22" s="518">
        <f t="shared" si="6"/>
        <v>10</v>
      </c>
      <c r="L22" s="518">
        <f t="shared" si="6"/>
        <v>10</v>
      </c>
      <c r="M22" s="518">
        <f t="shared" si="6"/>
        <v>10</v>
      </c>
      <c r="N22" s="518">
        <f t="shared" si="6"/>
        <v>10</v>
      </c>
      <c r="O22" s="518">
        <f t="shared" si="6"/>
        <v>10</v>
      </c>
      <c r="P22" s="518">
        <f t="shared" si="6"/>
        <v>10</v>
      </c>
      <c r="Q22" s="518">
        <f t="shared" si="6"/>
        <v>10</v>
      </c>
      <c r="R22" s="518">
        <f t="shared" si="6"/>
        <v>10</v>
      </c>
      <c r="S22" s="518">
        <f t="shared" si="6"/>
        <v>10</v>
      </c>
      <c r="T22" s="518">
        <f t="shared" si="6"/>
        <v>10</v>
      </c>
    </row>
    <row r="23" spans="1:20" ht="47.25" customHeight="1">
      <c r="A23" s="949"/>
      <c r="B23" s="568">
        <v>8</v>
      </c>
      <c r="C23" s="959" t="s">
        <v>615</v>
      </c>
      <c r="D23" s="960"/>
      <c r="E23" s="419" t="s">
        <v>400</v>
      </c>
      <c r="F23" s="447">
        <v>1</v>
      </c>
      <c r="G23" s="442">
        <v>1</v>
      </c>
      <c r="H23" s="522">
        <v>1</v>
      </c>
      <c r="I23" s="425">
        <v>1</v>
      </c>
      <c r="J23" s="519">
        <v>1</v>
      </c>
      <c r="K23" s="520">
        <v>1</v>
      </c>
      <c r="L23" s="421">
        <v>0</v>
      </c>
      <c r="M23" s="428">
        <v>1</v>
      </c>
      <c r="N23" s="521">
        <v>1</v>
      </c>
      <c r="O23" s="430">
        <v>1</v>
      </c>
      <c r="P23" s="431">
        <v>1</v>
      </c>
      <c r="Q23" s="448">
        <v>1</v>
      </c>
      <c r="R23" s="443">
        <v>1</v>
      </c>
      <c r="S23" s="444">
        <v>1</v>
      </c>
      <c r="T23" s="445">
        <v>1</v>
      </c>
    </row>
    <row r="24" spans="1:20">
      <c r="A24" s="949"/>
      <c r="B24" s="953" t="s">
        <v>509</v>
      </c>
      <c r="C24" s="954"/>
      <c r="D24" s="954"/>
      <c r="E24" s="955"/>
      <c r="F24" s="419">
        <v>14</v>
      </c>
      <c r="G24" s="419">
        <v>14</v>
      </c>
      <c r="H24" s="419">
        <v>14</v>
      </c>
      <c r="I24" s="419">
        <v>14</v>
      </c>
      <c r="J24" s="419">
        <v>14</v>
      </c>
      <c r="K24" s="419">
        <v>14</v>
      </c>
      <c r="L24" s="419"/>
      <c r="M24" s="419">
        <v>14</v>
      </c>
      <c r="N24" s="419">
        <v>14</v>
      </c>
      <c r="O24" s="419">
        <v>14</v>
      </c>
      <c r="P24" s="419">
        <v>14</v>
      </c>
      <c r="Q24" s="419">
        <v>14</v>
      </c>
      <c r="R24" s="419">
        <v>14</v>
      </c>
      <c r="S24" s="419">
        <v>14</v>
      </c>
      <c r="T24" s="419">
        <v>14</v>
      </c>
    </row>
    <row r="25" spans="1:20">
      <c r="A25" s="949"/>
      <c r="B25" s="953" t="s">
        <v>510</v>
      </c>
      <c r="C25" s="954"/>
      <c r="D25" s="954"/>
      <c r="E25" s="955"/>
      <c r="F25" s="447">
        <f>F24*F23</f>
        <v>14</v>
      </c>
      <c r="G25" s="518">
        <f>G24*G23</f>
        <v>14</v>
      </c>
      <c r="H25" s="518">
        <f t="shared" ref="H25:T25" si="7">H24*H23</f>
        <v>14</v>
      </c>
      <c r="I25" s="518">
        <f t="shared" si="7"/>
        <v>14</v>
      </c>
      <c r="J25" s="518">
        <f t="shared" si="7"/>
        <v>14</v>
      </c>
      <c r="K25" s="518">
        <f t="shared" si="7"/>
        <v>14</v>
      </c>
      <c r="L25" s="518">
        <f t="shared" si="7"/>
        <v>0</v>
      </c>
      <c r="M25" s="518">
        <f t="shared" si="7"/>
        <v>14</v>
      </c>
      <c r="N25" s="518">
        <f t="shared" si="7"/>
        <v>14</v>
      </c>
      <c r="O25" s="518">
        <f t="shared" si="7"/>
        <v>14</v>
      </c>
      <c r="P25" s="518">
        <f t="shared" si="7"/>
        <v>14</v>
      </c>
      <c r="Q25" s="518">
        <f t="shared" si="7"/>
        <v>14</v>
      </c>
      <c r="R25" s="518">
        <f t="shared" si="7"/>
        <v>14</v>
      </c>
      <c r="S25" s="518">
        <f t="shared" si="7"/>
        <v>14</v>
      </c>
      <c r="T25" s="518">
        <f t="shared" si="7"/>
        <v>14</v>
      </c>
    </row>
    <row r="26" spans="1:20" ht="89.25" customHeight="1">
      <c r="A26" s="949"/>
      <c r="B26" s="568">
        <v>9</v>
      </c>
      <c r="C26" s="959" t="s">
        <v>616</v>
      </c>
      <c r="D26" s="960"/>
      <c r="E26" s="419" t="s">
        <v>400</v>
      </c>
      <c r="F26" s="436">
        <v>0</v>
      </c>
      <c r="G26" s="423">
        <v>0</v>
      </c>
      <c r="H26" s="424">
        <v>1</v>
      </c>
      <c r="I26" s="437">
        <v>0</v>
      </c>
      <c r="J26" s="519">
        <v>1</v>
      </c>
      <c r="K26" s="520">
        <v>1</v>
      </c>
      <c r="L26" s="421">
        <v>0</v>
      </c>
      <c r="M26" s="438">
        <v>0</v>
      </c>
      <c r="N26" s="521">
        <v>1</v>
      </c>
      <c r="O26" s="441">
        <v>0</v>
      </c>
      <c r="P26" s="439">
        <v>0</v>
      </c>
      <c r="Q26" s="448">
        <v>1</v>
      </c>
      <c r="R26" s="443">
        <v>1</v>
      </c>
      <c r="S26" s="444">
        <v>1</v>
      </c>
      <c r="T26" s="445">
        <v>1</v>
      </c>
    </row>
    <row r="27" spans="1:20">
      <c r="A27" s="949"/>
      <c r="B27" s="953" t="s">
        <v>509</v>
      </c>
      <c r="C27" s="954"/>
      <c r="D27" s="954"/>
      <c r="E27" s="955"/>
      <c r="F27" s="419"/>
      <c r="G27" s="419"/>
      <c r="H27" s="419">
        <v>16</v>
      </c>
      <c r="I27" s="419"/>
      <c r="J27" s="419">
        <v>16</v>
      </c>
      <c r="K27" s="419">
        <v>16</v>
      </c>
      <c r="L27" s="419"/>
      <c r="M27" s="419"/>
      <c r="N27" s="419">
        <v>16</v>
      </c>
      <c r="O27" s="419"/>
      <c r="P27" s="419"/>
      <c r="Q27" s="419">
        <v>16</v>
      </c>
      <c r="R27" s="419">
        <v>16</v>
      </c>
      <c r="S27" s="419">
        <v>16</v>
      </c>
      <c r="T27" s="419">
        <v>16</v>
      </c>
    </row>
    <row r="28" spans="1:20">
      <c r="A28" s="949"/>
      <c r="B28" s="953" t="s">
        <v>510</v>
      </c>
      <c r="C28" s="954"/>
      <c r="D28" s="954"/>
      <c r="E28" s="955"/>
      <c r="F28" s="447">
        <f>F27*F26</f>
        <v>0</v>
      </c>
      <c r="G28" s="518">
        <f>G27*G26</f>
        <v>0</v>
      </c>
      <c r="H28" s="518">
        <f t="shared" ref="H28:T28" si="8">H27*H26</f>
        <v>16</v>
      </c>
      <c r="I28" s="518">
        <f t="shared" si="8"/>
        <v>0</v>
      </c>
      <c r="J28" s="518">
        <f t="shared" si="8"/>
        <v>16</v>
      </c>
      <c r="K28" s="518">
        <f t="shared" si="8"/>
        <v>16</v>
      </c>
      <c r="L28" s="518">
        <f t="shared" si="8"/>
        <v>0</v>
      </c>
      <c r="M28" s="518">
        <f t="shared" si="8"/>
        <v>0</v>
      </c>
      <c r="N28" s="518">
        <f t="shared" si="8"/>
        <v>16</v>
      </c>
      <c r="O28" s="518">
        <f t="shared" si="8"/>
        <v>0</v>
      </c>
      <c r="P28" s="518">
        <f t="shared" si="8"/>
        <v>0</v>
      </c>
      <c r="Q28" s="518">
        <f t="shared" si="8"/>
        <v>16</v>
      </c>
      <c r="R28" s="518">
        <f t="shared" si="8"/>
        <v>16</v>
      </c>
      <c r="S28" s="518">
        <f t="shared" si="8"/>
        <v>16</v>
      </c>
      <c r="T28" s="518">
        <f t="shared" si="8"/>
        <v>16</v>
      </c>
    </row>
    <row r="29" spans="1:20" ht="56.25" customHeight="1">
      <c r="A29" s="949"/>
      <c r="B29" s="568">
        <v>10</v>
      </c>
      <c r="C29" s="959" t="s">
        <v>561</v>
      </c>
      <c r="D29" s="960"/>
      <c r="E29" s="419" t="s">
        <v>400</v>
      </c>
      <c r="F29" s="447">
        <v>1</v>
      </c>
      <c r="G29" s="442">
        <v>1</v>
      </c>
      <c r="H29" s="424">
        <v>1</v>
      </c>
      <c r="I29" s="425">
        <v>1</v>
      </c>
      <c r="J29" s="519">
        <v>1</v>
      </c>
      <c r="K29" s="520">
        <v>1</v>
      </c>
      <c r="L29" s="420">
        <v>1</v>
      </c>
      <c r="M29" s="428">
        <v>1</v>
      </c>
      <c r="N29" s="521">
        <v>1</v>
      </c>
      <c r="O29" s="430">
        <v>1</v>
      </c>
      <c r="P29" s="431">
        <v>1</v>
      </c>
      <c r="Q29" s="448">
        <v>1</v>
      </c>
      <c r="R29" s="443">
        <v>1</v>
      </c>
      <c r="S29" s="444">
        <v>1</v>
      </c>
      <c r="T29" s="445">
        <v>1</v>
      </c>
    </row>
    <row r="30" spans="1:20">
      <c r="A30" s="949"/>
      <c r="B30" s="953" t="s">
        <v>509</v>
      </c>
      <c r="C30" s="954"/>
      <c r="D30" s="954"/>
      <c r="E30" s="955"/>
      <c r="F30" s="419">
        <v>12</v>
      </c>
      <c r="G30" s="419">
        <v>12</v>
      </c>
      <c r="H30" s="419">
        <v>12</v>
      </c>
      <c r="I30" s="419">
        <v>12</v>
      </c>
      <c r="J30" s="419">
        <v>12</v>
      </c>
      <c r="K30" s="419">
        <v>12</v>
      </c>
      <c r="L30" s="419">
        <v>12</v>
      </c>
      <c r="M30" s="419">
        <v>12</v>
      </c>
      <c r="N30" s="419">
        <v>12</v>
      </c>
      <c r="O30" s="419">
        <v>12</v>
      </c>
      <c r="P30" s="419">
        <v>12</v>
      </c>
      <c r="Q30" s="419">
        <v>12</v>
      </c>
      <c r="R30" s="419">
        <v>12</v>
      </c>
      <c r="S30" s="419">
        <v>12</v>
      </c>
      <c r="T30" s="419">
        <v>12</v>
      </c>
    </row>
    <row r="31" spans="1:20">
      <c r="A31" s="949"/>
      <c r="B31" s="953" t="s">
        <v>510</v>
      </c>
      <c r="C31" s="954"/>
      <c r="D31" s="954"/>
      <c r="E31" s="955"/>
      <c r="F31" s="447">
        <f>F30*F29</f>
        <v>12</v>
      </c>
      <c r="G31" s="518">
        <f>G30*G29</f>
        <v>12</v>
      </c>
      <c r="H31" s="518">
        <f t="shared" ref="H31:T31" si="9">H30*H29</f>
        <v>12</v>
      </c>
      <c r="I31" s="518">
        <f t="shared" si="9"/>
        <v>12</v>
      </c>
      <c r="J31" s="518">
        <f t="shared" si="9"/>
        <v>12</v>
      </c>
      <c r="K31" s="518">
        <f t="shared" si="9"/>
        <v>12</v>
      </c>
      <c r="L31" s="518">
        <f t="shared" si="9"/>
        <v>12</v>
      </c>
      <c r="M31" s="518">
        <f t="shared" si="9"/>
        <v>12</v>
      </c>
      <c r="N31" s="518">
        <f t="shared" si="9"/>
        <v>12</v>
      </c>
      <c r="O31" s="518">
        <f t="shared" si="9"/>
        <v>12</v>
      </c>
      <c r="P31" s="518">
        <f t="shared" si="9"/>
        <v>12</v>
      </c>
      <c r="Q31" s="518">
        <f t="shared" si="9"/>
        <v>12</v>
      </c>
      <c r="R31" s="518">
        <f t="shared" si="9"/>
        <v>12</v>
      </c>
      <c r="S31" s="518">
        <f t="shared" si="9"/>
        <v>12</v>
      </c>
      <c r="T31" s="518">
        <f t="shared" si="9"/>
        <v>12</v>
      </c>
    </row>
    <row r="32" spans="1:20" ht="158.25" customHeight="1">
      <c r="A32" s="949"/>
      <c r="B32" s="568">
        <v>11</v>
      </c>
      <c r="C32" s="959" t="s">
        <v>617</v>
      </c>
      <c r="D32" s="960"/>
      <c r="E32" s="419" t="s">
        <v>400</v>
      </c>
      <c r="F32" s="523">
        <v>2</v>
      </c>
      <c r="G32" s="524">
        <v>1</v>
      </c>
      <c r="H32" s="424">
        <v>2</v>
      </c>
      <c r="I32" s="425">
        <v>2</v>
      </c>
      <c r="J32" s="519">
        <v>2</v>
      </c>
      <c r="K32" s="525">
        <v>2</v>
      </c>
      <c r="L32" s="420">
        <v>2</v>
      </c>
      <c r="M32" s="428">
        <v>2</v>
      </c>
      <c r="N32" s="521">
        <v>2</v>
      </c>
      <c r="O32" s="430">
        <v>2</v>
      </c>
      <c r="P32" s="431">
        <v>2</v>
      </c>
      <c r="Q32" s="448">
        <v>2</v>
      </c>
      <c r="R32" s="443">
        <v>2</v>
      </c>
      <c r="S32" s="444">
        <v>2</v>
      </c>
      <c r="T32" s="445">
        <v>2</v>
      </c>
    </row>
    <row r="33" spans="1:20">
      <c r="A33" s="949"/>
      <c r="B33" s="953" t="s">
        <v>509</v>
      </c>
      <c r="C33" s="954"/>
      <c r="D33" s="954"/>
      <c r="E33" s="955"/>
      <c r="F33" s="419">
        <v>8</v>
      </c>
      <c r="G33" s="419">
        <v>8</v>
      </c>
      <c r="H33" s="419">
        <v>8</v>
      </c>
      <c r="I33" s="419">
        <v>8</v>
      </c>
      <c r="J33" s="419">
        <v>8</v>
      </c>
      <c r="K33" s="419">
        <v>8</v>
      </c>
      <c r="L33" s="419">
        <v>8</v>
      </c>
      <c r="M33" s="419">
        <v>8</v>
      </c>
      <c r="N33" s="419">
        <v>8</v>
      </c>
      <c r="O33" s="419">
        <v>8</v>
      </c>
      <c r="P33" s="419">
        <v>8</v>
      </c>
      <c r="Q33" s="419">
        <v>8</v>
      </c>
      <c r="R33" s="419">
        <v>8</v>
      </c>
      <c r="S33" s="419">
        <v>8</v>
      </c>
      <c r="T33" s="419">
        <v>8</v>
      </c>
    </row>
    <row r="34" spans="1:20">
      <c r="A34" s="949"/>
      <c r="B34" s="953" t="s">
        <v>510</v>
      </c>
      <c r="C34" s="954"/>
      <c r="D34" s="954"/>
      <c r="E34" s="955"/>
      <c r="F34" s="447">
        <f>F33*F32</f>
        <v>16</v>
      </c>
      <c r="G34" s="518">
        <f>G33*G32</f>
        <v>8</v>
      </c>
      <c r="H34" s="518">
        <f t="shared" ref="H34:T34" si="10">H33*H32</f>
        <v>16</v>
      </c>
      <c r="I34" s="518">
        <f t="shared" si="10"/>
        <v>16</v>
      </c>
      <c r="J34" s="518">
        <f t="shared" si="10"/>
        <v>16</v>
      </c>
      <c r="K34" s="518">
        <f t="shared" si="10"/>
        <v>16</v>
      </c>
      <c r="L34" s="518">
        <f t="shared" si="10"/>
        <v>16</v>
      </c>
      <c r="M34" s="518">
        <f t="shared" si="10"/>
        <v>16</v>
      </c>
      <c r="N34" s="518">
        <f t="shared" si="10"/>
        <v>16</v>
      </c>
      <c r="O34" s="518">
        <f t="shared" si="10"/>
        <v>16</v>
      </c>
      <c r="P34" s="518">
        <f t="shared" si="10"/>
        <v>16</v>
      </c>
      <c r="Q34" s="518">
        <f t="shared" si="10"/>
        <v>16</v>
      </c>
      <c r="R34" s="518">
        <f t="shared" si="10"/>
        <v>16</v>
      </c>
      <c r="S34" s="518">
        <f t="shared" si="10"/>
        <v>16</v>
      </c>
      <c r="T34" s="518">
        <f t="shared" si="10"/>
        <v>16</v>
      </c>
    </row>
    <row r="35" spans="1:20" ht="168.75" customHeight="1">
      <c r="A35" s="949"/>
      <c r="B35" s="568">
        <v>12</v>
      </c>
      <c r="C35" s="959" t="s">
        <v>618</v>
      </c>
      <c r="D35" s="960"/>
      <c r="E35" s="419" t="s">
        <v>400</v>
      </c>
      <c r="F35" s="422">
        <v>1</v>
      </c>
      <c r="G35" s="526">
        <v>1</v>
      </c>
      <c r="H35" s="424">
        <v>1</v>
      </c>
      <c r="I35" s="425">
        <v>1</v>
      </c>
      <c r="J35" s="519">
        <v>1</v>
      </c>
      <c r="K35" s="525">
        <v>1</v>
      </c>
      <c r="L35" s="421">
        <v>0</v>
      </c>
      <c r="M35" s="428">
        <v>1</v>
      </c>
      <c r="N35" s="521">
        <v>1</v>
      </c>
      <c r="O35" s="430">
        <v>1</v>
      </c>
      <c r="P35" s="431">
        <v>1</v>
      </c>
      <c r="Q35" s="448">
        <v>1</v>
      </c>
      <c r="R35" s="443">
        <v>1</v>
      </c>
      <c r="S35" s="444">
        <v>1</v>
      </c>
      <c r="T35" s="445">
        <v>1</v>
      </c>
    </row>
    <row r="36" spans="1:20">
      <c r="A36" s="949"/>
      <c r="B36" s="953" t="s">
        <v>509</v>
      </c>
      <c r="C36" s="954"/>
      <c r="D36" s="954"/>
      <c r="E36" s="955"/>
      <c r="F36" s="419">
        <v>12</v>
      </c>
      <c r="G36" s="419">
        <v>12</v>
      </c>
      <c r="H36" s="419">
        <v>12</v>
      </c>
      <c r="I36" s="419">
        <v>12</v>
      </c>
      <c r="J36" s="419">
        <v>12</v>
      </c>
      <c r="K36" s="419">
        <v>12</v>
      </c>
      <c r="L36" s="419"/>
      <c r="M36" s="419">
        <v>12</v>
      </c>
      <c r="N36" s="419">
        <v>12</v>
      </c>
      <c r="O36" s="419">
        <v>12</v>
      </c>
      <c r="P36" s="419">
        <v>12</v>
      </c>
      <c r="Q36" s="419">
        <v>12</v>
      </c>
      <c r="R36" s="419">
        <v>12</v>
      </c>
      <c r="S36" s="419">
        <v>12</v>
      </c>
      <c r="T36" s="419">
        <v>12</v>
      </c>
    </row>
    <row r="37" spans="1:20">
      <c r="A37" s="949"/>
      <c r="B37" s="953" t="s">
        <v>510</v>
      </c>
      <c r="C37" s="954"/>
      <c r="D37" s="954"/>
      <c r="E37" s="955"/>
      <c r="F37" s="447">
        <f>F36*F35</f>
        <v>12</v>
      </c>
      <c r="G37" s="518">
        <f>G36*G35</f>
        <v>12</v>
      </c>
      <c r="H37" s="518">
        <f t="shared" ref="H37:T37" si="11">H36*H35</f>
        <v>12</v>
      </c>
      <c r="I37" s="518">
        <f t="shared" si="11"/>
        <v>12</v>
      </c>
      <c r="J37" s="518">
        <f t="shared" si="11"/>
        <v>12</v>
      </c>
      <c r="K37" s="518">
        <f t="shared" si="11"/>
        <v>12</v>
      </c>
      <c r="L37" s="518">
        <f t="shared" si="11"/>
        <v>0</v>
      </c>
      <c r="M37" s="518">
        <f t="shared" si="11"/>
        <v>12</v>
      </c>
      <c r="N37" s="518">
        <f t="shared" si="11"/>
        <v>12</v>
      </c>
      <c r="O37" s="518">
        <f t="shared" si="11"/>
        <v>12</v>
      </c>
      <c r="P37" s="518">
        <f t="shared" si="11"/>
        <v>12</v>
      </c>
      <c r="Q37" s="518">
        <f t="shared" si="11"/>
        <v>12</v>
      </c>
      <c r="R37" s="518">
        <f t="shared" si="11"/>
        <v>12</v>
      </c>
      <c r="S37" s="518">
        <f t="shared" si="11"/>
        <v>12</v>
      </c>
      <c r="T37" s="518">
        <f t="shared" si="11"/>
        <v>12</v>
      </c>
    </row>
    <row r="38" spans="1:20" ht="156.75" customHeight="1">
      <c r="A38" s="949"/>
      <c r="B38" s="568">
        <v>13</v>
      </c>
      <c r="C38" s="959" t="s">
        <v>619</v>
      </c>
      <c r="D38" s="960"/>
      <c r="E38" s="419" t="s">
        <v>400</v>
      </c>
      <c r="F38" s="436">
        <v>0</v>
      </c>
      <c r="G38" s="423">
        <v>0</v>
      </c>
      <c r="H38" s="440">
        <v>0</v>
      </c>
      <c r="I38" s="437">
        <v>0</v>
      </c>
      <c r="J38" s="426">
        <v>0</v>
      </c>
      <c r="K38" s="427">
        <v>0</v>
      </c>
      <c r="L38" s="420">
        <v>1</v>
      </c>
      <c r="M38" s="438">
        <v>0</v>
      </c>
      <c r="N38" s="429">
        <v>0</v>
      </c>
      <c r="O38" s="441">
        <v>0</v>
      </c>
      <c r="P38" s="439">
        <v>0</v>
      </c>
      <c r="Q38" s="432">
        <v>0</v>
      </c>
      <c r="R38" s="433">
        <v>0</v>
      </c>
      <c r="S38" s="599">
        <v>0</v>
      </c>
      <c r="T38" s="435">
        <v>0</v>
      </c>
    </row>
    <row r="39" spans="1:20">
      <c r="A39" s="949"/>
      <c r="B39" s="953" t="s">
        <v>509</v>
      </c>
      <c r="C39" s="954"/>
      <c r="D39" s="954"/>
      <c r="E39" s="955"/>
      <c r="F39" s="419"/>
      <c r="G39" s="419"/>
      <c r="H39" s="419"/>
      <c r="I39" s="419"/>
      <c r="J39" s="419"/>
      <c r="K39" s="419"/>
      <c r="L39" s="419">
        <v>15</v>
      </c>
      <c r="M39" s="419"/>
      <c r="N39" s="419"/>
      <c r="O39" s="419"/>
      <c r="P39" s="419"/>
      <c r="Q39" s="419"/>
      <c r="R39" s="419"/>
      <c r="S39" s="419"/>
      <c r="T39" s="419"/>
    </row>
    <row r="40" spans="1:20">
      <c r="A40" s="949"/>
      <c r="B40" s="953" t="s">
        <v>510</v>
      </c>
      <c r="C40" s="954"/>
      <c r="D40" s="954"/>
      <c r="E40" s="955"/>
      <c r="F40" s="447">
        <f>F39*F38</f>
        <v>0</v>
      </c>
      <c r="G40" s="518">
        <f>G39*G38</f>
        <v>0</v>
      </c>
      <c r="H40" s="518">
        <f t="shared" ref="H40:T40" si="12">H39*H38</f>
        <v>0</v>
      </c>
      <c r="I40" s="518">
        <f t="shared" si="12"/>
        <v>0</v>
      </c>
      <c r="J40" s="518">
        <f t="shared" si="12"/>
        <v>0</v>
      </c>
      <c r="K40" s="518">
        <f t="shared" si="12"/>
        <v>0</v>
      </c>
      <c r="L40" s="518">
        <f t="shared" si="12"/>
        <v>15</v>
      </c>
      <c r="M40" s="518">
        <f t="shared" si="12"/>
        <v>0</v>
      </c>
      <c r="N40" s="518">
        <f t="shared" si="12"/>
        <v>0</v>
      </c>
      <c r="O40" s="518">
        <f t="shared" si="12"/>
        <v>0</v>
      </c>
      <c r="P40" s="518">
        <f t="shared" si="12"/>
        <v>0</v>
      </c>
      <c r="Q40" s="518">
        <f t="shared" si="12"/>
        <v>0</v>
      </c>
      <c r="R40" s="518">
        <f t="shared" si="12"/>
        <v>0</v>
      </c>
      <c r="S40" s="518">
        <f t="shared" si="12"/>
        <v>0</v>
      </c>
      <c r="T40" s="518">
        <f t="shared" si="12"/>
        <v>0</v>
      </c>
    </row>
    <row r="41" spans="1:20" ht="168" customHeight="1">
      <c r="A41" s="949"/>
      <c r="B41" s="568">
        <v>14</v>
      </c>
      <c r="C41" s="959" t="s">
        <v>620</v>
      </c>
      <c r="D41" s="960"/>
      <c r="E41" s="419" t="s">
        <v>400</v>
      </c>
      <c r="F41" s="523">
        <v>1</v>
      </c>
      <c r="G41" s="423">
        <v>0</v>
      </c>
      <c r="H41" s="424">
        <v>1</v>
      </c>
      <c r="I41" s="425">
        <v>1</v>
      </c>
      <c r="J41" s="519">
        <v>1</v>
      </c>
      <c r="K41" s="525">
        <v>1</v>
      </c>
      <c r="L41" s="420">
        <v>1</v>
      </c>
      <c r="M41" s="428">
        <v>1</v>
      </c>
      <c r="N41" s="521">
        <v>1</v>
      </c>
      <c r="O41" s="430">
        <v>1</v>
      </c>
      <c r="P41" s="431">
        <v>1</v>
      </c>
      <c r="Q41" s="448">
        <v>1</v>
      </c>
      <c r="R41" s="443">
        <v>1</v>
      </c>
      <c r="S41" s="444">
        <v>1</v>
      </c>
      <c r="T41" s="445">
        <v>1</v>
      </c>
    </row>
    <row r="42" spans="1:20">
      <c r="A42" s="949"/>
      <c r="B42" s="953" t="s">
        <v>509</v>
      </c>
      <c r="C42" s="954"/>
      <c r="D42" s="954"/>
      <c r="E42" s="955"/>
      <c r="F42" s="419">
        <v>14</v>
      </c>
      <c r="G42" s="419"/>
      <c r="H42" s="419">
        <v>14</v>
      </c>
      <c r="I42" s="419">
        <v>14</v>
      </c>
      <c r="J42" s="419">
        <v>14</v>
      </c>
      <c r="K42" s="419">
        <v>14</v>
      </c>
      <c r="L42" s="419">
        <v>14</v>
      </c>
      <c r="M42" s="419">
        <v>14</v>
      </c>
      <c r="N42" s="419">
        <v>14</v>
      </c>
      <c r="O42" s="419">
        <v>14</v>
      </c>
      <c r="P42" s="419">
        <v>14</v>
      </c>
      <c r="Q42" s="419">
        <v>14</v>
      </c>
      <c r="R42" s="419">
        <v>14</v>
      </c>
      <c r="S42" s="419">
        <v>14</v>
      </c>
      <c r="T42" s="419">
        <v>14</v>
      </c>
    </row>
    <row r="43" spans="1:20">
      <c r="A43" s="949"/>
      <c r="B43" s="953" t="s">
        <v>510</v>
      </c>
      <c r="C43" s="954"/>
      <c r="D43" s="954"/>
      <c r="E43" s="955"/>
      <c r="F43" s="447">
        <f>F42*F41</f>
        <v>14</v>
      </c>
      <c r="G43" s="518">
        <f>G42*G41</f>
        <v>0</v>
      </c>
      <c r="H43" s="518">
        <f t="shared" ref="H43:T43" si="13">H42*H41</f>
        <v>14</v>
      </c>
      <c r="I43" s="518">
        <f t="shared" si="13"/>
        <v>14</v>
      </c>
      <c r="J43" s="518">
        <f t="shared" si="13"/>
        <v>14</v>
      </c>
      <c r="K43" s="518">
        <f t="shared" si="13"/>
        <v>14</v>
      </c>
      <c r="L43" s="518">
        <f t="shared" si="13"/>
        <v>14</v>
      </c>
      <c r="M43" s="518">
        <f t="shared" si="13"/>
        <v>14</v>
      </c>
      <c r="N43" s="518">
        <f t="shared" si="13"/>
        <v>14</v>
      </c>
      <c r="O43" s="518">
        <f t="shared" si="13"/>
        <v>14</v>
      </c>
      <c r="P43" s="518">
        <f t="shared" si="13"/>
        <v>14</v>
      </c>
      <c r="Q43" s="518">
        <f t="shared" si="13"/>
        <v>14</v>
      </c>
      <c r="R43" s="518">
        <f t="shared" si="13"/>
        <v>14</v>
      </c>
      <c r="S43" s="518">
        <f t="shared" si="13"/>
        <v>14</v>
      </c>
      <c r="T43" s="518">
        <f t="shared" si="13"/>
        <v>14</v>
      </c>
    </row>
    <row r="44" spans="1:20" ht="109.5" customHeight="1">
      <c r="A44" s="950"/>
      <c r="B44" s="568">
        <v>15</v>
      </c>
      <c r="C44" s="961" t="s">
        <v>621</v>
      </c>
      <c r="D44" s="962"/>
      <c r="E44" s="527" t="s">
        <v>400</v>
      </c>
      <c r="F44" s="446">
        <v>1</v>
      </c>
      <c r="G44" s="442">
        <v>1</v>
      </c>
      <c r="H44" s="424">
        <v>1</v>
      </c>
      <c r="I44" s="425">
        <v>1</v>
      </c>
      <c r="J44" s="519">
        <v>1</v>
      </c>
      <c r="K44" s="520">
        <v>1</v>
      </c>
      <c r="L44" s="420">
        <v>1</v>
      </c>
      <c r="M44" s="428">
        <v>1</v>
      </c>
      <c r="N44" s="521">
        <v>1</v>
      </c>
      <c r="O44" s="430">
        <v>1</v>
      </c>
      <c r="P44" s="431">
        <v>1</v>
      </c>
      <c r="Q44" s="448">
        <v>1</v>
      </c>
      <c r="R44" s="443">
        <v>1</v>
      </c>
      <c r="S44" s="444">
        <v>1</v>
      </c>
      <c r="T44" s="445">
        <v>1</v>
      </c>
    </row>
    <row r="45" spans="1:20">
      <c r="A45" s="464"/>
      <c r="B45" s="953" t="s">
        <v>509</v>
      </c>
      <c r="C45" s="954"/>
      <c r="D45" s="954"/>
      <c r="E45" s="955"/>
      <c r="F45" s="527"/>
      <c r="G45" s="527"/>
      <c r="H45" s="527"/>
      <c r="I45" s="527"/>
      <c r="J45" s="527"/>
      <c r="K45" s="527"/>
      <c r="L45" s="527"/>
      <c r="M45" s="527"/>
      <c r="N45" s="527"/>
      <c r="O45" s="527"/>
      <c r="P45" s="527"/>
      <c r="Q45" s="527"/>
      <c r="R45" s="527"/>
      <c r="S45" s="527"/>
      <c r="T45" s="527"/>
    </row>
    <row r="46" spans="1:20">
      <c r="A46" s="464"/>
      <c r="B46" s="953" t="s">
        <v>510</v>
      </c>
      <c r="C46" s="954"/>
      <c r="D46" s="954"/>
      <c r="E46" s="955"/>
      <c r="F46" s="447">
        <f>F45*F44</f>
        <v>0</v>
      </c>
      <c r="G46" s="518">
        <f>G45*G44</f>
        <v>0</v>
      </c>
      <c r="H46" s="518">
        <f t="shared" ref="H46:T46" si="14">H45*H44</f>
        <v>0</v>
      </c>
      <c r="I46" s="518">
        <f t="shared" si="14"/>
        <v>0</v>
      </c>
      <c r="J46" s="518">
        <f t="shared" si="14"/>
        <v>0</v>
      </c>
      <c r="K46" s="518">
        <f t="shared" si="14"/>
        <v>0</v>
      </c>
      <c r="L46" s="518">
        <f t="shared" si="14"/>
        <v>0</v>
      </c>
      <c r="M46" s="518">
        <f t="shared" si="14"/>
        <v>0</v>
      </c>
      <c r="N46" s="518">
        <f t="shared" si="14"/>
        <v>0</v>
      </c>
      <c r="O46" s="518">
        <f t="shared" si="14"/>
        <v>0</v>
      </c>
      <c r="P46" s="518">
        <f t="shared" si="14"/>
        <v>0</v>
      </c>
      <c r="Q46" s="518">
        <f t="shared" si="14"/>
        <v>0</v>
      </c>
      <c r="R46" s="518">
        <f t="shared" si="14"/>
        <v>0</v>
      </c>
      <c r="S46" s="518">
        <f t="shared" si="14"/>
        <v>0</v>
      </c>
      <c r="T46" s="518">
        <f t="shared" si="14"/>
        <v>0</v>
      </c>
    </row>
    <row r="47" spans="1:20" ht="72" customHeight="1">
      <c r="A47" s="948" t="s">
        <v>622</v>
      </c>
      <c r="B47" s="568">
        <v>16</v>
      </c>
      <c r="C47" s="959" t="s">
        <v>608</v>
      </c>
      <c r="D47" s="960"/>
      <c r="E47" s="419" t="s">
        <v>623</v>
      </c>
      <c r="F47" s="447">
        <v>5</v>
      </c>
      <c r="G47" s="442">
        <v>5</v>
      </c>
      <c r="H47" s="424">
        <v>7</v>
      </c>
      <c r="I47" s="425">
        <v>2</v>
      </c>
      <c r="J47" s="519">
        <v>4</v>
      </c>
      <c r="K47" s="520">
        <v>4</v>
      </c>
      <c r="L47" s="420">
        <v>5</v>
      </c>
      <c r="M47" s="428">
        <v>5</v>
      </c>
      <c r="N47" s="521">
        <v>4</v>
      </c>
      <c r="O47" s="430">
        <v>2</v>
      </c>
      <c r="P47" s="431">
        <v>1</v>
      </c>
      <c r="Q47" s="448">
        <v>1</v>
      </c>
      <c r="R47" s="443">
        <v>1</v>
      </c>
      <c r="S47" s="444">
        <v>1</v>
      </c>
      <c r="T47" s="445">
        <v>2</v>
      </c>
    </row>
    <row r="48" spans="1:20">
      <c r="A48" s="949"/>
      <c r="B48" s="953" t="s">
        <v>509</v>
      </c>
      <c r="C48" s="954"/>
      <c r="D48" s="954"/>
      <c r="E48" s="955"/>
      <c r="F48" s="419">
        <v>15</v>
      </c>
      <c r="G48" s="419">
        <v>15</v>
      </c>
      <c r="H48" s="419">
        <v>15</v>
      </c>
      <c r="I48" s="419">
        <v>15</v>
      </c>
      <c r="J48" s="419">
        <v>15</v>
      </c>
      <c r="K48" s="419">
        <v>15</v>
      </c>
      <c r="L48" s="419">
        <v>15</v>
      </c>
      <c r="M48" s="419">
        <v>15</v>
      </c>
      <c r="N48" s="419">
        <v>15</v>
      </c>
      <c r="O48" s="419">
        <v>15</v>
      </c>
      <c r="P48" s="419">
        <v>15</v>
      </c>
      <c r="Q48" s="419">
        <v>15</v>
      </c>
      <c r="R48" s="419">
        <v>15</v>
      </c>
      <c r="S48" s="419">
        <v>15</v>
      </c>
      <c r="T48" s="419">
        <v>15</v>
      </c>
    </row>
    <row r="49" spans="1:20">
      <c r="A49" s="949"/>
      <c r="B49" s="953" t="s">
        <v>510</v>
      </c>
      <c r="C49" s="954"/>
      <c r="D49" s="954"/>
      <c r="E49" s="955"/>
      <c r="F49" s="447">
        <f>F48*F47</f>
        <v>75</v>
      </c>
      <c r="G49" s="518">
        <f>G48*G47</f>
        <v>75</v>
      </c>
      <c r="H49" s="518">
        <f t="shared" ref="H49:T49" si="15">H48*H47</f>
        <v>105</v>
      </c>
      <c r="I49" s="518">
        <f t="shared" si="15"/>
        <v>30</v>
      </c>
      <c r="J49" s="518">
        <f t="shared" si="15"/>
        <v>60</v>
      </c>
      <c r="K49" s="518">
        <f t="shared" si="15"/>
        <v>60</v>
      </c>
      <c r="L49" s="518">
        <f t="shared" si="15"/>
        <v>75</v>
      </c>
      <c r="M49" s="518">
        <f t="shared" si="15"/>
        <v>75</v>
      </c>
      <c r="N49" s="518">
        <f t="shared" si="15"/>
        <v>60</v>
      </c>
      <c r="O49" s="518">
        <f t="shared" si="15"/>
        <v>30</v>
      </c>
      <c r="P49" s="518">
        <f t="shared" si="15"/>
        <v>15</v>
      </c>
      <c r="Q49" s="518">
        <f t="shared" si="15"/>
        <v>15</v>
      </c>
      <c r="R49" s="518">
        <f t="shared" si="15"/>
        <v>15</v>
      </c>
      <c r="S49" s="518">
        <f t="shared" si="15"/>
        <v>15</v>
      </c>
      <c r="T49" s="518">
        <f t="shared" si="15"/>
        <v>30</v>
      </c>
    </row>
    <row r="50" spans="1:20" ht="50.25" customHeight="1">
      <c r="A50" s="949"/>
      <c r="B50" s="568">
        <v>17</v>
      </c>
      <c r="C50" s="959" t="s">
        <v>607</v>
      </c>
      <c r="D50" s="960"/>
      <c r="E50" s="419" t="s">
        <v>623</v>
      </c>
      <c r="F50" s="447">
        <v>5</v>
      </c>
      <c r="G50" s="442">
        <v>4</v>
      </c>
      <c r="H50" s="424">
        <v>5</v>
      </c>
      <c r="I50" s="425">
        <v>2</v>
      </c>
      <c r="J50" s="519">
        <v>4</v>
      </c>
      <c r="K50" s="520">
        <v>4</v>
      </c>
      <c r="L50" s="420">
        <v>6</v>
      </c>
      <c r="M50" s="428">
        <v>16</v>
      </c>
      <c r="N50" s="521">
        <v>4</v>
      </c>
      <c r="O50" s="430">
        <v>10</v>
      </c>
      <c r="P50" s="431">
        <v>1</v>
      </c>
      <c r="Q50" s="448">
        <v>1</v>
      </c>
      <c r="R50" s="443">
        <v>1</v>
      </c>
      <c r="S50" s="444">
        <v>1</v>
      </c>
      <c r="T50" s="435">
        <v>0</v>
      </c>
    </row>
    <row r="51" spans="1:20">
      <c r="A51" s="949"/>
      <c r="B51" s="953" t="s">
        <v>509</v>
      </c>
      <c r="C51" s="954"/>
      <c r="D51" s="954"/>
      <c r="E51" s="955"/>
      <c r="F51" s="419">
        <v>8</v>
      </c>
      <c r="G51" s="419">
        <v>8</v>
      </c>
      <c r="H51" s="419">
        <v>8</v>
      </c>
      <c r="I51" s="419">
        <v>8</v>
      </c>
      <c r="J51" s="419">
        <v>8</v>
      </c>
      <c r="K51" s="419">
        <v>8</v>
      </c>
      <c r="L51" s="419">
        <v>8</v>
      </c>
      <c r="M51" s="419">
        <v>8</v>
      </c>
      <c r="N51" s="419">
        <v>8</v>
      </c>
      <c r="O51" s="419">
        <v>8</v>
      </c>
      <c r="P51" s="419">
        <v>8</v>
      </c>
      <c r="Q51" s="419">
        <v>8</v>
      </c>
      <c r="R51" s="419">
        <v>8</v>
      </c>
      <c r="S51" s="419">
        <v>8</v>
      </c>
      <c r="T51" s="419"/>
    </row>
    <row r="52" spans="1:20">
      <c r="A52" s="949"/>
      <c r="B52" s="953" t="s">
        <v>510</v>
      </c>
      <c r="C52" s="954"/>
      <c r="D52" s="954"/>
      <c r="E52" s="955"/>
      <c r="F52" s="447">
        <f>F51*F50</f>
        <v>40</v>
      </c>
      <c r="G52" s="518">
        <f>G51*G50</f>
        <v>32</v>
      </c>
      <c r="H52" s="518">
        <f t="shared" ref="H52:T52" si="16">H51*H50</f>
        <v>40</v>
      </c>
      <c r="I52" s="518">
        <f t="shared" si="16"/>
        <v>16</v>
      </c>
      <c r="J52" s="518">
        <f t="shared" si="16"/>
        <v>32</v>
      </c>
      <c r="K52" s="518">
        <f t="shared" si="16"/>
        <v>32</v>
      </c>
      <c r="L52" s="518">
        <f t="shared" si="16"/>
        <v>48</v>
      </c>
      <c r="M52" s="518">
        <f t="shared" si="16"/>
        <v>128</v>
      </c>
      <c r="N52" s="518">
        <f t="shared" si="16"/>
        <v>32</v>
      </c>
      <c r="O52" s="518">
        <f t="shared" si="16"/>
        <v>80</v>
      </c>
      <c r="P52" s="518">
        <f t="shared" si="16"/>
        <v>8</v>
      </c>
      <c r="Q52" s="518">
        <f t="shared" si="16"/>
        <v>8</v>
      </c>
      <c r="R52" s="518">
        <f t="shared" si="16"/>
        <v>8</v>
      </c>
      <c r="S52" s="518">
        <f t="shared" si="16"/>
        <v>8</v>
      </c>
      <c r="T52" s="518">
        <f t="shared" si="16"/>
        <v>0</v>
      </c>
    </row>
    <row r="53" spans="1:20" ht="111" customHeight="1">
      <c r="A53" s="949"/>
      <c r="B53" s="568">
        <v>18</v>
      </c>
      <c r="C53" s="959" t="s">
        <v>593</v>
      </c>
      <c r="D53" s="960"/>
      <c r="E53" s="419" t="s">
        <v>624</v>
      </c>
      <c r="F53" s="447">
        <v>5</v>
      </c>
      <c r="G53" s="442">
        <v>5</v>
      </c>
      <c r="H53" s="424">
        <v>5</v>
      </c>
      <c r="I53" s="425">
        <v>1</v>
      </c>
      <c r="J53" s="519">
        <v>5</v>
      </c>
      <c r="K53" s="520">
        <v>5</v>
      </c>
      <c r="L53" s="420">
        <v>6</v>
      </c>
      <c r="M53" s="428">
        <v>5</v>
      </c>
      <c r="N53" s="521">
        <v>5</v>
      </c>
      <c r="O53" s="430">
        <v>5</v>
      </c>
      <c r="P53" s="431">
        <v>2</v>
      </c>
      <c r="Q53" s="448">
        <v>5</v>
      </c>
      <c r="R53" s="443">
        <v>2</v>
      </c>
      <c r="S53" s="444">
        <v>2</v>
      </c>
      <c r="T53" s="445">
        <v>3</v>
      </c>
    </row>
    <row r="54" spans="1:20">
      <c r="A54" s="949"/>
      <c r="B54" s="953" t="s">
        <v>509</v>
      </c>
      <c r="C54" s="954"/>
      <c r="D54" s="954"/>
      <c r="E54" s="955"/>
      <c r="F54" s="419">
        <v>14</v>
      </c>
      <c r="G54" s="419">
        <v>14</v>
      </c>
      <c r="H54" s="419">
        <v>14</v>
      </c>
      <c r="I54" s="419">
        <v>14</v>
      </c>
      <c r="J54" s="419">
        <v>14</v>
      </c>
      <c r="K54" s="419">
        <v>14</v>
      </c>
      <c r="L54" s="419">
        <v>14</v>
      </c>
      <c r="M54" s="419">
        <v>14</v>
      </c>
      <c r="N54" s="419">
        <v>14</v>
      </c>
      <c r="O54" s="419">
        <v>14</v>
      </c>
      <c r="P54" s="419">
        <v>14</v>
      </c>
      <c r="Q54" s="419">
        <v>14</v>
      </c>
      <c r="R54" s="419">
        <v>14</v>
      </c>
      <c r="S54" s="419">
        <v>14</v>
      </c>
      <c r="T54" s="419">
        <v>14</v>
      </c>
    </row>
    <row r="55" spans="1:20">
      <c r="A55" s="949"/>
      <c r="B55" s="953" t="s">
        <v>510</v>
      </c>
      <c r="C55" s="954"/>
      <c r="D55" s="954"/>
      <c r="E55" s="955"/>
      <c r="F55" s="447">
        <f>F54*F53</f>
        <v>70</v>
      </c>
      <c r="G55" s="518">
        <f>G54*G53</f>
        <v>70</v>
      </c>
      <c r="H55" s="518">
        <f t="shared" ref="H55:T55" si="17">H54*H53</f>
        <v>70</v>
      </c>
      <c r="I55" s="518">
        <f t="shared" si="17"/>
        <v>14</v>
      </c>
      <c r="J55" s="518">
        <f t="shared" si="17"/>
        <v>70</v>
      </c>
      <c r="K55" s="518">
        <f t="shared" si="17"/>
        <v>70</v>
      </c>
      <c r="L55" s="518">
        <f t="shared" si="17"/>
        <v>84</v>
      </c>
      <c r="M55" s="518">
        <f t="shared" si="17"/>
        <v>70</v>
      </c>
      <c r="N55" s="518">
        <f t="shared" si="17"/>
        <v>70</v>
      </c>
      <c r="O55" s="518">
        <f t="shared" si="17"/>
        <v>70</v>
      </c>
      <c r="P55" s="518">
        <f t="shared" si="17"/>
        <v>28</v>
      </c>
      <c r="Q55" s="518">
        <f t="shared" si="17"/>
        <v>70</v>
      </c>
      <c r="R55" s="518">
        <f t="shared" si="17"/>
        <v>28</v>
      </c>
      <c r="S55" s="518">
        <f t="shared" si="17"/>
        <v>28</v>
      </c>
      <c r="T55" s="518">
        <f t="shared" si="17"/>
        <v>42</v>
      </c>
    </row>
    <row r="56" spans="1:20" ht="25.5" customHeight="1">
      <c r="A56" s="949"/>
      <c r="B56" s="568">
        <v>19</v>
      </c>
      <c r="C56" s="959" t="s">
        <v>625</v>
      </c>
      <c r="D56" s="960"/>
      <c r="E56" s="419" t="s">
        <v>626</v>
      </c>
      <c r="F56" s="447">
        <v>5</v>
      </c>
      <c r="G56" s="442">
        <v>5</v>
      </c>
      <c r="H56" s="424">
        <v>5</v>
      </c>
      <c r="I56" s="425">
        <v>5</v>
      </c>
      <c r="J56" s="519">
        <v>5</v>
      </c>
      <c r="K56" s="520">
        <v>5</v>
      </c>
      <c r="L56" s="420">
        <v>5</v>
      </c>
      <c r="M56" s="428">
        <v>5</v>
      </c>
      <c r="N56" s="521">
        <v>5</v>
      </c>
      <c r="O56" s="430">
        <v>5</v>
      </c>
      <c r="P56" s="431">
        <v>5</v>
      </c>
      <c r="Q56" s="448">
        <v>5</v>
      </c>
      <c r="R56" s="443">
        <v>3</v>
      </c>
      <c r="S56" s="444">
        <v>3</v>
      </c>
      <c r="T56" s="445">
        <v>3</v>
      </c>
    </row>
    <row r="57" spans="1:20">
      <c r="A57" s="949"/>
      <c r="B57" s="953" t="s">
        <v>509</v>
      </c>
      <c r="C57" s="954"/>
      <c r="D57" s="954"/>
      <c r="E57" s="955"/>
      <c r="F57" s="419">
        <v>1</v>
      </c>
      <c r="G57" s="419">
        <v>1</v>
      </c>
      <c r="H57" s="419">
        <v>1</v>
      </c>
      <c r="I57" s="419">
        <v>1</v>
      </c>
      <c r="J57" s="419">
        <v>1</v>
      </c>
      <c r="K57" s="419">
        <v>1</v>
      </c>
      <c r="L57" s="419">
        <v>1</v>
      </c>
      <c r="M57" s="419">
        <v>1</v>
      </c>
      <c r="N57" s="419">
        <v>1</v>
      </c>
      <c r="O57" s="419">
        <v>1</v>
      </c>
      <c r="P57" s="419">
        <v>1</v>
      </c>
      <c r="Q57" s="419">
        <v>1</v>
      </c>
      <c r="R57" s="419">
        <v>1</v>
      </c>
      <c r="S57" s="419">
        <v>1</v>
      </c>
      <c r="T57" s="419">
        <v>1</v>
      </c>
    </row>
    <row r="58" spans="1:20">
      <c r="A58" s="949"/>
      <c r="B58" s="953" t="s">
        <v>510</v>
      </c>
      <c r="C58" s="954"/>
      <c r="D58" s="954"/>
      <c r="E58" s="955"/>
      <c r="F58" s="447">
        <f>F57*F56</f>
        <v>5</v>
      </c>
      <c r="G58" s="518">
        <f>G57*G56</f>
        <v>5</v>
      </c>
      <c r="H58" s="518">
        <f t="shared" ref="H58:T58" si="18">H57*H56</f>
        <v>5</v>
      </c>
      <c r="I58" s="518">
        <f t="shared" si="18"/>
        <v>5</v>
      </c>
      <c r="J58" s="518">
        <f t="shared" si="18"/>
        <v>5</v>
      </c>
      <c r="K58" s="518">
        <f t="shared" si="18"/>
        <v>5</v>
      </c>
      <c r="L58" s="518">
        <f t="shared" si="18"/>
        <v>5</v>
      </c>
      <c r="M58" s="518">
        <f t="shared" si="18"/>
        <v>5</v>
      </c>
      <c r="N58" s="518">
        <f t="shared" si="18"/>
        <v>5</v>
      </c>
      <c r="O58" s="518">
        <f t="shared" si="18"/>
        <v>5</v>
      </c>
      <c r="P58" s="518">
        <f t="shared" si="18"/>
        <v>5</v>
      </c>
      <c r="Q58" s="518">
        <f t="shared" si="18"/>
        <v>5</v>
      </c>
      <c r="R58" s="518">
        <f t="shared" si="18"/>
        <v>3</v>
      </c>
      <c r="S58" s="518">
        <f t="shared" si="18"/>
        <v>3</v>
      </c>
      <c r="T58" s="518">
        <f t="shared" si="18"/>
        <v>3</v>
      </c>
    </row>
    <row r="59" spans="1:20" ht="80.25" customHeight="1">
      <c r="A59" s="949"/>
      <c r="B59" s="568">
        <v>20</v>
      </c>
      <c r="C59" s="959" t="s">
        <v>627</v>
      </c>
      <c r="D59" s="960"/>
      <c r="E59" s="419" t="s">
        <v>623</v>
      </c>
      <c r="F59" s="436">
        <v>0</v>
      </c>
      <c r="G59" s="423">
        <v>0</v>
      </c>
      <c r="H59" s="440">
        <v>0</v>
      </c>
      <c r="I59" s="437">
        <v>0</v>
      </c>
      <c r="J59" s="426">
        <v>0</v>
      </c>
      <c r="K59" s="427">
        <v>0</v>
      </c>
      <c r="L59" s="421">
        <v>0</v>
      </c>
      <c r="M59" s="438">
        <v>0</v>
      </c>
      <c r="N59" s="429">
        <v>0</v>
      </c>
      <c r="O59" s="441">
        <v>0</v>
      </c>
      <c r="P59" s="439">
        <v>0</v>
      </c>
      <c r="Q59" s="528">
        <v>3</v>
      </c>
      <c r="R59" s="433">
        <v>0</v>
      </c>
      <c r="S59" s="434">
        <v>0</v>
      </c>
      <c r="T59" s="435">
        <v>0</v>
      </c>
    </row>
    <row r="60" spans="1:20">
      <c r="A60" s="949"/>
      <c r="B60" s="953" t="s">
        <v>509</v>
      </c>
      <c r="C60" s="954"/>
      <c r="D60" s="954"/>
      <c r="E60" s="955"/>
      <c r="F60" s="419"/>
      <c r="G60" s="419"/>
      <c r="H60" s="419"/>
      <c r="I60" s="419"/>
      <c r="J60" s="419"/>
      <c r="K60" s="419"/>
      <c r="L60" s="419"/>
      <c r="M60" s="419"/>
      <c r="N60" s="419"/>
      <c r="O60" s="419"/>
      <c r="P60" s="419"/>
      <c r="Q60" s="419">
        <v>12</v>
      </c>
      <c r="R60" s="419"/>
      <c r="S60" s="419"/>
      <c r="T60" s="419"/>
    </row>
    <row r="61" spans="1:20">
      <c r="A61" s="949"/>
      <c r="B61" s="953" t="s">
        <v>510</v>
      </c>
      <c r="C61" s="954"/>
      <c r="D61" s="954"/>
      <c r="E61" s="955"/>
      <c r="F61" s="447">
        <f>F60*F59</f>
        <v>0</v>
      </c>
      <c r="G61" s="518">
        <f>G60*G59</f>
        <v>0</v>
      </c>
      <c r="H61" s="518">
        <f t="shared" ref="H61:T61" si="19">H60*H59</f>
        <v>0</v>
      </c>
      <c r="I61" s="518">
        <f t="shared" si="19"/>
        <v>0</v>
      </c>
      <c r="J61" s="518">
        <f t="shared" si="19"/>
        <v>0</v>
      </c>
      <c r="K61" s="518">
        <f t="shared" si="19"/>
        <v>0</v>
      </c>
      <c r="L61" s="518">
        <f t="shared" si="19"/>
        <v>0</v>
      </c>
      <c r="M61" s="518">
        <f t="shared" si="19"/>
        <v>0</v>
      </c>
      <c r="N61" s="518">
        <f t="shared" si="19"/>
        <v>0</v>
      </c>
      <c r="O61" s="518">
        <f t="shared" si="19"/>
        <v>0</v>
      </c>
      <c r="P61" s="518">
        <f t="shared" si="19"/>
        <v>0</v>
      </c>
      <c r="Q61" s="518">
        <f t="shared" si="19"/>
        <v>36</v>
      </c>
      <c r="R61" s="518">
        <f t="shared" si="19"/>
        <v>0</v>
      </c>
      <c r="S61" s="518">
        <f t="shared" si="19"/>
        <v>0</v>
      </c>
      <c r="T61" s="518">
        <f t="shared" si="19"/>
        <v>0</v>
      </c>
    </row>
    <row r="62" spans="1:20" ht="91.5" customHeight="1">
      <c r="A62" s="949"/>
      <c r="B62" s="568">
        <v>21</v>
      </c>
      <c r="C62" s="959" t="s">
        <v>605</v>
      </c>
      <c r="D62" s="960"/>
      <c r="E62" s="419" t="s">
        <v>623</v>
      </c>
      <c r="F62" s="529">
        <v>6</v>
      </c>
      <c r="G62" s="530">
        <v>3</v>
      </c>
      <c r="H62" s="531">
        <v>5</v>
      </c>
      <c r="I62" s="532">
        <v>4</v>
      </c>
      <c r="J62" s="533">
        <v>5</v>
      </c>
      <c r="K62" s="534">
        <v>5</v>
      </c>
      <c r="L62" s="535">
        <v>5</v>
      </c>
      <c r="M62" s="438">
        <v>0</v>
      </c>
      <c r="N62" s="536">
        <v>5</v>
      </c>
      <c r="O62" s="537">
        <v>3</v>
      </c>
      <c r="P62" s="538">
        <v>1</v>
      </c>
      <c r="Q62" s="539">
        <v>3</v>
      </c>
      <c r="R62" s="540">
        <v>1</v>
      </c>
      <c r="S62" s="541">
        <v>1</v>
      </c>
      <c r="T62" s="542">
        <v>1</v>
      </c>
    </row>
    <row r="63" spans="1:20">
      <c r="A63" s="949"/>
      <c r="B63" s="953" t="s">
        <v>509</v>
      </c>
      <c r="C63" s="954"/>
      <c r="D63" s="954"/>
      <c r="E63" s="955"/>
      <c r="F63" s="419">
        <v>14</v>
      </c>
      <c r="G63" s="419">
        <v>14</v>
      </c>
      <c r="H63" s="419">
        <v>14</v>
      </c>
      <c r="I63" s="419">
        <v>14</v>
      </c>
      <c r="J63" s="419">
        <v>14</v>
      </c>
      <c r="K63" s="419">
        <v>14</v>
      </c>
      <c r="L63" s="419">
        <v>14</v>
      </c>
      <c r="M63" s="419"/>
      <c r="N63" s="419">
        <v>14</v>
      </c>
      <c r="O63" s="419">
        <v>14</v>
      </c>
      <c r="P63" s="419">
        <v>14</v>
      </c>
      <c r="Q63" s="419">
        <v>14</v>
      </c>
      <c r="R63" s="419">
        <v>14</v>
      </c>
      <c r="S63" s="419">
        <v>14</v>
      </c>
      <c r="T63" s="419">
        <v>14</v>
      </c>
    </row>
    <row r="64" spans="1:20">
      <c r="A64" s="949"/>
      <c r="B64" s="953" t="s">
        <v>510</v>
      </c>
      <c r="C64" s="954"/>
      <c r="D64" s="954"/>
      <c r="E64" s="955"/>
      <c r="F64" s="447">
        <f>F63*F62</f>
        <v>84</v>
      </c>
      <c r="G64" s="518">
        <f>G63*G62</f>
        <v>42</v>
      </c>
      <c r="H64" s="518">
        <f t="shared" ref="H64:T64" si="20">H63*H62</f>
        <v>70</v>
      </c>
      <c r="I64" s="518">
        <f t="shared" si="20"/>
        <v>56</v>
      </c>
      <c r="J64" s="518">
        <f t="shared" si="20"/>
        <v>70</v>
      </c>
      <c r="K64" s="518">
        <f t="shared" si="20"/>
        <v>70</v>
      </c>
      <c r="L64" s="518">
        <f t="shared" si="20"/>
        <v>70</v>
      </c>
      <c r="M64" s="518">
        <f t="shared" si="20"/>
        <v>0</v>
      </c>
      <c r="N64" s="518">
        <f t="shared" si="20"/>
        <v>70</v>
      </c>
      <c r="O64" s="518">
        <f t="shared" si="20"/>
        <v>42</v>
      </c>
      <c r="P64" s="518">
        <f t="shared" si="20"/>
        <v>14</v>
      </c>
      <c r="Q64" s="518">
        <f t="shared" si="20"/>
        <v>42</v>
      </c>
      <c r="R64" s="518">
        <f t="shared" si="20"/>
        <v>14</v>
      </c>
      <c r="S64" s="518">
        <f t="shared" si="20"/>
        <v>14</v>
      </c>
      <c r="T64" s="518">
        <f t="shared" si="20"/>
        <v>14</v>
      </c>
    </row>
    <row r="65" spans="1:20" ht="81.75" customHeight="1">
      <c r="A65" s="950"/>
      <c r="B65" s="568">
        <v>22</v>
      </c>
      <c r="C65" s="959" t="s">
        <v>628</v>
      </c>
      <c r="D65" s="960"/>
      <c r="E65" s="419" t="s">
        <v>623</v>
      </c>
      <c r="F65" s="529">
        <v>5</v>
      </c>
      <c r="G65" s="530">
        <v>3</v>
      </c>
      <c r="H65" s="531">
        <v>7</v>
      </c>
      <c r="I65" s="532">
        <v>2</v>
      </c>
      <c r="J65" s="533">
        <v>5</v>
      </c>
      <c r="K65" s="534">
        <v>5</v>
      </c>
      <c r="L65" s="535">
        <v>5</v>
      </c>
      <c r="M65" s="438">
        <v>0</v>
      </c>
      <c r="N65" s="536">
        <v>5</v>
      </c>
      <c r="O65" s="537">
        <v>3</v>
      </c>
      <c r="P65" s="538">
        <v>1</v>
      </c>
      <c r="Q65" s="539">
        <v>2</v>
      </c>
      <c r="R65" s="540">
        <v>1</v>
      </c>
      <c r="S65" s="541">
        <v>1</v>
      </c>
      <c r="T65" s="542">
        <v>1</v>
      </c>
    </row>
    <row r="66" spans="1:20">
      <c r="A66" s="464"/>
      <c r="B66" s="953" t="s">
        <v>509</v>
      </c>
      <c r="C66" s="954"/>
      <c r="D66" s="954"/>
      <c r="E66" s="955"/>
      <c r="F66" s="419">
        <v>8</v>
      </c>
      <c r="G66" s="419">
        <v>8</v>
      </c>
      <c r="H66" s="419">
        <v>8</v>
      </c>
      <c r="I66" s="419">
        <v>8</v>
      </c>
      <c r="J66" s="419">
        <v>8</v>
      </c>
      <c r="K66" s="419">
        <v>8</v>
      </c>
      <c r="L66" s="419">
        <v>8</v>
      </c>
      <c r="M66" s="419"/>
      <c r="N66" s="419">
        <v>8</v>
      </c>
      <c r="O66" s="419">
        <v>8</v>
      </c>
      <c r="P66" s="419">
        <v>8</v>
      </c>
      <c r="Q66" s="419">
        <v>8</v>
      </c>
      <c r="R66" s="419">
        <v>8</v>
      </c>
      <c r="S66" s="419">
        <v>8</v>
      </c>
      <c r="T66" s="419">
        <v>8</v>
      </c>
    </row>
    <row r="67" spans="1:20">
      <c r="A67" s="464"/>
      <c r="B67" s="953" t="s">
        <v>510</v>
      </c>
      <c r="C67" s="954"/>
      <c r="D67" s="954"/>
      <c r="E67" s="955"/>
      <c r="F67" s="447">
        <f>F66*F65</f>
        <v>40</v>
      </c>
      <c r="G67" s="518">
        <f>G66*G65</f>
        <v>24</v>
      </c>
      <c r="H67" s="518">
        <f t="shared" ref="H67:T67" si="21">H66*H65</f>
        <v>56</v>
      </c>
      <c r="I67" s="518">
        <f t="shared" si="21"/>
        <v>16</v>
      </c>
      <c r="J67" s="518">
        <f t="shared" si="21"/>
        <v>40</v>
      </c>
      <c r="K67" s="518">
        <f t="shared" si="21"/>
        <v>40</v>
      </c>
      <c r="L67" s="518">
        <f t="shared" si="21"/>
        <v>40</v>
      </c>
      <c r="M67" s="518">
        <f t="shared" si="21"/>
        <v>0</v>
      </c>
      <c r="N67" s="518">
        <f t="shared" si="21"/>
        <v>40</v>
      </c>
      <c r="O67" s="518">
        <f t="shared" si="21"/>
        <v>24</v>
      </c>
      <c r="P67" s="518">
        <f t="shared" si="21"/>
        <v>8</v>
      </c>
      <c r="Q67" s="518">
        <f t="shared" si="21"/>
        <v>16</v>
      </c>
      <c r="R67" s="518">
        <f t="shared" si="21"/>
        <v>8</v>
      </c>
      <c r="S67" s="518">
        <f t="shared" si="21"/>
        <v>8</v>
      </c>
      <c r="T67" s="518">
        <f t="shared" si="21"/>
        <v>8</v>
      </c>
    </row>
    <row r="68" spans="1:20" ht="24" customHeight="1">
      <c r="A68" s="948" t="s">
        <v>629</v>
      </c>
      <c r="B68" s="568">
        <v>23</v>
      </c>
      <c r="C68" s="959" t="s">
        <v>602</v>
      </c>
      <c r="D68" s="960"/>
      <c r="E68" s="419" t="s">
        <v>623</v>
      </c>
      <c r="F68" s="543">
        <v>3</v>
      </c>
      <c r="G68" s="423">
        <v>0</v>
      </c>
      <c r="H68" s="440">
        <v>0</v>
      </c>
      <c r="I68" s="437">
        <v>0</v>
      </c>
      <c r="J68" s="426">
        <v>0</v>
      </c>
      <c r="K68" s="427">
        <v>0</v>
      </c>
      <c r="L68" s="421">
        <v>0</v>
      </c>
      <c r="M68" s="438">
        <v>0</v>
      </c>
      <c r="N68" s="429">
        <v>0</v>
      </c>
      <c r="O68" s="441">
        <v>0</v>
      </c>
      <c r="P68" s="439">
        <v>0</v>
      </c>
      <c r="Q68" s="432">
        <v>0</v>
      </c>
      <c r="R68" s="433">
        <v>0</v>
      </c>
      <c r="S68" s="434">
        <v>0</v>
      </c>
      <c r="T68" s="435">
        <v>0</v>
      </c>
    </row>
    <row r="69" spans="1:20">
      <c r="A69" s="949"/>
      <c r="B69" s="953" t="s">
        <v>509</v>
      </c>
      <c r="C69" s="954"/>
      <c r="D69" s="954"/>
      <c r="E69" s="955"/>
      <c r="F69" s="419"/>
      <c r="G69" s="419"/>
      <c r="H69" s="419"/>
      <c r="I69" s="419"/>
      <c r="J69" s="419"/>
      <c r="K69" s="419"/>
      <c r="L69" s="419"/>
      <c r="M69" s="419"/>
      <c r="N69" s="419"/>
      <c r="O69" s="419"/>
      <c r="P69" s="419"/>
      <c r="Q69" s="419"/>
      <c r="R69" s="419"/>
      <c r="S69" s="419"/>
      <c r="T69" s="419"/>
    </row>
    <row r="70" spans="1:20">
      <c r="A70" s="949"/>
      <c r="B70" s="953" t="s">
        <v>510</v>
      </c>
      <c r="C70" s="954"/>
      <c r="D70" s="954"/>
      <c r="E70" s="955"/>
      <c r="F70" s="447">
        <f>F69*F68</f>
        <v>0</v>
      </c>
      <c r="G70" s="518">
        <f>G69*G68</f>
        <v>0</v>
      </c>
      <c r="H70" s="518">
        <f t="shared" ref="H70:T70" si="22">H69*H68</f>
        <v>0</v>
      </c>
      <c r="I70" s="518">
        <f t="shared" si="22"/>
        <v>0</v>
      </c>
      <c r="J70" s="518">
        <f t="shared" si="22"/>
        <v>0</v>
      </c>
      <c r="K70" s="518">
        <f t="shared" si="22"/>
        <v>0</v>
      </c>
      <c r="L70" s="518">
        <f t="shared" si="22"/>
        <v>0</v>
      </c>
      <c r="M70" s="518">
        <f t="shared" si="22"/>
        <v>0</v>
      </c>
      <c r="N70" s="518">
        <f t="shared" si="22"/>
        <v>0</v>
      </c>
      <c r="O70" s="518">
        <f t="shared" si="22"/>
        <v>0</v>
      </c>
      <c r="P70" s="518">
        <f t="shared" si="22"/>
        <v>0</v>
      </c>
      <c r="Q70" s="518">
        <f t="shared" si="22"/>
        <v>0</v>
      </c>
      <c r="R70" s="518">
        <f t="shared" si="22"/>
        <v>0</v>
      </c>
      <c r="S70" s="518">
        <f t="shared" si="22"/>
        <v>0</v>
      </c>
      <c r="T70" s="518">
        <f t="shared" si="22"/>
        <v>0</v>
      </c>
    </row>
    <row r="71" spans="1:20" ht="62.25" customHeight="1">
      <c r="A71" s="949"/>
      <c r="B71" s="568">
        <v>24</v>
      </c>
      <c r="C71" s="959" t="s">
        <v>601</v>
      </c>
      <c r="D71" s="960"/>
      <c r="E71" s="544" t="s">
        <v>623</v>
      </c>
      <c r="F71" s="543">
        <v>2</v>
      </c>
      <c r="G71" s="530">
        <v>5</v>
      </c>
      <c r="H71" s="440">
        <v>0</v>
      </c>
      <c r="I71" s="437">
        <v>0</v>
      </c>
      <c r="J71" s="426">
        <v>0</v>
      </c>
      <c r="K71" s="427">
        <v>0</v>
      </c>
      <c r="L71" s="535">
        <v>5</v>
      </c>
      <c r="M71" s="438">
        <v>0</v>
      </c>
      <c r="N71" s="429">
        <v>0</v>
      </c>
      <c r="O71" s="545">
        <v>5</v>
      </c>
      <c r="P71" s="546">
        <v>5</v>
      </c>
      <c r="Q71" s="432">
        <v>0</v>
      </c>
      <c r="R71" s="540">
        <v>1</v>
      </c>
      <c r="S71" s="541">
        <v>1</v>
      </c>
      <c r="T71" s="435">
        <v>0</v>
      </c>
    </row>
    <row r="72" spans="1:20">
      <c r="A72" s="949"/>
      <c r="B72" s="953" t="s">
        <v>509</v>
      </c>
      <c r="C72" s="954"/>
      <c r="D72" s="954"/>
      <c r="E72" s="955"/>
      <c r="F72" s="527">
        <v>15</v>
      </c>
      <c r="G72" s="527">
        <v>15</v>
      </c>
      <c r="H72" s="527"/>
      <c r="I72" s="527"/>
      <c r="J72" s="527"/>
      <c r="K72" s="527"/>
      <c r="L72" s="527">
        <v>15</v>
      </c>
      <c r="M72" s="527"/>
      <c r="N72" s="527"/>
      <c r="O72" s="527">
        <v>15</v>
      </c>
      <c r="P72" s="527">
        <v>15</v>
      </c>
      <c r="Q72" s="527"/>
      <c r="R72" s="527">
        <v>15</v>
      </c>
      <c r="S72" s="527">
        <v>15</v>
      </c>
      <c r="T72" s="527"/>
    </row>
    <row r="73" spans="1:20">
      <c r="A73" s="949"/>
      <c r="B73" s="953" t="s">
        <v>510</v>
      </c>
      <c r="C73" s="954"/>
      <c r="D73" s="954"/>
      <c r="E73" s="955"/>
      <c r="F73" s="447">
        <f>F72*F71</f>
        <v>30</v>
      </c>
      <c r="G73" s="518">
        <f>G72*G71</f>
        <v>75</v>
      </c>
      <c r="H73" s="518">
        <f t="shared" ref="H73:T73" si="23">H72*H71</f>
        <v>0</v>
      </c>
      <c r="I73" s="518">
        <f t="shared" si="23"/>
        <v>0</v>
      </c>
      <c r="J73" s="518">
        <f t="shared" si="23"/>
        <v>0</v>
      </c>
      <c r="K73" s="518">
        <f t="shared" si="23"/>
        <v>0</v>
      </c>
      <c r="L73" s="518">
        <f t="shared" si="23"/>
        <v>75</v>
      </c>
      <c r="M73" s="518">
        <f t="shared" si="23"/>
        <v>0</v>
      </c>
      <c r="N73" s="518">
        <f t="shared" si="23"/>
        <v>0</v>
      </c>
      <c r="O73" s="518">
        <f t="shared" si="23"/>
        <v>75</v>
      </c>
      <c r="P73" s="518">
        <f t="shared" si="23"/>
        <v>75</v>
      </c>
      <c r="Q73" s="518">
        <f t="shared" si="23"/>
        <v>0</v>
      </c>
      <c r="R73" s="518">
        <f t="shared" si="23"/>
        <v>15</v>
      </c>
      <c r="S73" s="518">
        <f t="shared" si="23"/>
        <v>15</v>
      </c>
      <c r="T73" s="518">
        <f t="shared" si="23"/>
        <v>0</v>
      </c>
    </row>
    <row r="74" spans="1:20" ht="37.5" customHeight="1">
      <c r="A74" s="949"/>
      <c r="B74" s="568">
        <v>25</v>
      </c>
      <c r="C74" s="959" t="s">
        <v>600</v>
      </c>
      <c r="D74" s="960"/>
      <c r="E74" s="419" t="s">
        <v>623</v>
      </c>
      <c r="F74" s="543">
        <v>3</v>
      </c>
      <c r="G74" s="547">
        <v>3</v>
      </c>
      <c r="H74" s="531">
        <v>5</v>
      </c>
      <c r="I74" s="548">
        <v>2</v>
      </c>
      <c r="J74" s="533">
        <v>5</v>
      </c>
      <c r="K74" s="534">
        <v>5</v>
      </c>
      <c r="L74" s="535">
        <v>5</v>
      </c>
      <c r="M74" s="549">
        <v>3</v>
      </c>
      <c r="N74" s="536">
        <v>5</v>
      </c>
      <c r="O74" s="537">
        <v>5</v>
      </c>
      <c r="P74" s="538">
        <v>3</v>
      </c>
      <c r="Q74" s="539">
        <v>2</v>
      </c>
      <c r="R74" s="550">
        <v>3</v>
      </c>
      <c r="S74" s="541">
        <v>3</v>
      </c>
      <c r="T74" s="542">
        <v>4</v>
      </c>
    </row>
    <row r="75" spans="1:20">
      <c r="A75" s="949"/>
      <c r="B75" s="953" t="s">
        <v>509</v>
      </c>
      <c r="C75" s="954"/>
      <c r="D75" s="954"/>
      <c r="E75" s="955"/>
      <c r="F75" s="419">
        <v>9</v>
      </c>
      <c r="G75" s="419">
        <v>9</v>
      </c>
      <c r="H75" s="419">
        <v>9</v>
      </c>
      <c r="I75" s="419">
        <v>9</v>
      </c>
      <c r="J75" s="419">
        <v>9</v>
      </c>
      <c r="K75" s="419">
        <v>9</v>
      </c>
      <c r="L75" s="419">
        <v>9</v>
      </c>
      <c r="M75" s="419">
        <v>9</v>
      </c>
      <c r="N75" s="419">
        <v>9</v>
      </c>
      <c r="O75" s="419">
        <v>9</v>
      </c>
      <c r="P75" s="419">
        <v>9</v>
      </c>
      <c r="Q75" s="419">
        <v>9</v>
      </c>
      <c r="R75" s="419">
        <v>9</v>
      </c>
      <c r="S75" s="419">
        <v>9</v>
      </c>
      <c r="T75" s="419">
        <v>9</v>
      </c>
    </row>
    <row r="76" spans="1:20">
      <c r="A76" s="949"/>
      <c r="B76" s="953" t="s">
        <v>510</v>
      </c>
      <c r="C76" s="954"/>
      <c r="D76" s="954"/>
      <c r="E76" s="955"/>
      <c r="F76" s="447">
        <f>F75*F74</f>
        <v>27</v>
      </c>
      <c r="G76" s="518">
        <f>G75*G74</f>
        <v>27</v>
      </c>
      <c r="H76" s="518">
        <f t="shared" ref="H76:T76" si="24">H75*H74</f>
        <v>45</v>
      </c>
      <c r="I76" s="518">
        <f t="shared" si="24"/>
        <v>18</v>
      </c>
      <c r="J76" s="518">
        <f t="shared" si="24"/>
        <v>45</v>
      </c>
      <c r="K76" s="518">
        <f t="shared" si="24"/>
        <v>45</v>
      </c>
      <c r="L76" s="518">
        <f t="shared" si="24"/>
        <v>45</v>
      </c>
      <c r="M76" s="518">
        <f t="shared" si="24"/>
        <v>27</v>
      </c>
      <c r="N76" s="518">
        <f t="shared" si="24"/>
        <v>45</v>
      </c>
      <c r="O76" s="518">
        <f t="shared" si="24"/>
        <v>45</v>
      </c>
      <c r="P76" s="518">
        <f t="shared" si="24"/>
        <v>27</v>
      </c>
      <c r="Q76" s="518">
        <f t="shared" si="24"/>
        <v>18</v>
      </c>
      <c r="R76" s="518">
        <f t="shared" si="24"/>
        <v>27</v>
      </c>
      <c r="S76" s="518">
        <f t="shared" si="24"/>
        <v>27</v>
      </c>
      <c r="T76" s="518">
        <f t="shared" si="24"/>
        <v>36</v>
      </c>
    </row>
    <row r="77" spans="1:20" ht="41.25" customHeight="1">
      <c r="A77" s="949"/>
      <c r="B77" s="568">
        <v>26</v>
      </c>
      <c r="C77" s="959" t="s">
        <v>599</v>
      </c>
      <c r="D77" s="960"/>
      <c r="E77" s="419" t="s">
        <v>623</v>
      </c>
      <c r="F77" s="436">
        <v>0</v>
      </c>
      <c r="G77" s="423">
        <v>0</v>
      </c>
      <c r="H77" s="440">
        <v>0</v>
      </c>
      <c r="I77" s="437">
        <v>0</v>
      </c>
      <c r="J77" s="426">
        <v>0</v>
      </c>
      <c r="K77" s="427">
        <v>0</v>
      </c>
      <c r="L77" s="535">
        <v>5</v>
      </c>
      <c r="M77" s="438">
        <v>0</v>
      </c>
      <c r="N77" s="429">
        <v>0</v>
      </c>
      <c r="O77" s="545">
        <v>5</v>
      </c>
      <c r="P77" s="546">
        <v>5</v>
      </c>
      <c r="Q77" s="432">
        <v>0</v>
      </c>
      <c r="R77" s="433">
        <v>0</v>
      </c>
      <c r="S77" s="434">
        <v>0</v>
      </c>
      <c r="T77" s="542">
        <v>3</v>
      </c>
    </row>
    <row r="78" spans="1:20">
      <c r="A78" s="949"/>
      <c r="B78" s="953" t="s">
        <v>509</v>
      </c>
      <c r="C78" s="954"/>
      <c r="D78" s="954"/>
      <c r="E78" s="955"/>
      <c r="F78" s="419"/>
      <c r="G78" s="419"/>
      <c r="H78" s="419"/>
      <c r="I78" s="419"/>
      <c r="J78" s="419"/>
      <c r="K78" s="419"/>
      <c r="L78" s="419">
        <v>16</v>
      </c>
      <c r="M78" s="419"/>
      <c r="N78" s="419"/>
      <c r="O78" s="419">
        <v>16</v>
      </c>
      <c r="P78" s="419">
        <v>16</v>
      </c>
      <c r="Q78" s="419"/>
      <c r="R78" s="419"/>
      <c r="S78" s="419"/>
      <c r="T78" s="419">
        <v>16</v>
      </c>
    </row>
    <row r="79" spans="1:20">
      <c r="A79" s="949"/>
      <c r="B79" s="953" t="s">
        <v>510</v>
      </c>
      <c r="C79" s="954"/>
      <c r="D79" s="954"/>
      <c r="E79" s="955"/>
      <c r="F79" s="447">
        <f>F78*F77</f>
        <v>0</v>
      </c>
      <c r="G79" s="518">
        <f>G78*G77</f>
        <v>0</v>
      </c>
      <c r="H79" s="518">
        <f t="shared" ref="H79:T79" si="25">H78*H77</f>
        <v>0</v>
      </c>
      <c r="I79" s="518">
        <f t="shared" si="25"/>
        <v>0</v>
      </c>
      <c r="J79" s="518">
        <f t="shared" si="25"/>
        <v>0</v>
      </c>
      <c r="K79" s="518">
        <f t="shared" si="25"/>
        <v>0</v>
      </c>
      <c r="L79" s="518">
        <f t="shared" si="25"/>
        <v>80</v>
      </c>
      <c r="M79" s="518">
        <f t="shared" si="25"/>
        <v>0</v>
      </c>
      <c r="N79" s="518">
        <f t="shared" si="25"/>
        <v>0</v>
      </c>
      <c r="O79" s="518">
        <f t="shared" si="25"/>
        <v>80</v>
      </c>
      <c r="P79" s="518">
        <f t="shared" si="25"/>
        <v>80</v>
      </c>
      <c r="Q79" s="518">
        <f t="shared" si="25"/>
        <v>0</v>
      </c>
      <c r="R79" s="518">
        <f t="shared" si="25"/>
        <v>0</v>
      </c>
      <c r="S79" s="518">
        <f t="shared" si="25"/>
        <v>0</v>
      </c>
      <c r="T79" s="518">
        <f t="shared" si="25"/>
        <v>48</v>
      </c>
    </row>
    <row r="80" spans="1:20" ht="67.5" customHeight="1">
      <c r="A80" s="949"/>
      <c r="B80" s="568">
        <v>27</v>
      </c>
      <c r="C80" s="959" t="s">
        <v>598</v>
      </c>
      <c r="D80" s="960"/>
      <c r="E80" s="419" t="s">
        <v>623</v>
      </c>
      <c r="F80" s="543">
        <v>2</v>
      </c>
      <c r="G80" s="530">
        <v>3</v>
      </c>
      <c r="H80" s="531">
        <v>5</v>
      </c>
      <c r="I80" s="548">
        <v>3</v>
      </c>
      <c r="J80" s="533">
        <v>5</v>
      </c>
      <c r="K80" s="534">
        <v>5</v>
      </c>
      <c r="L80" s="535">
        <v>5</v>
      </c>
      <c r="M80" s="549">
        <v>5</v>
      </c>
      <c r="N80" s="536">
        <v>5</v>
      </c>
      <c r="O80" s="537">
        <v>5</v>
      </c>
      <c r="P80" s="538">
        <v>1</v>
      </c>
      <c r="Q80" s="539">
        <v>1</v>
      </c>
      <c r="R80" s="540">
        <v>1</v>
      </c>
      <c r="S80" s="541">
        <v>1</v>
      </c>
      <c r="T80" s="542">
        <v>4</v>
      </c>
    </row>
    <row r="81" spans="1:20">
      <c r="A81" s="949"/>
      <c r="B81" s="953" t="s">
        <v>509</v>
      </c>
      <c r="C81" s="954"/>
      <c r="D81" s="954"/>
      <c r="E81" s="955"/>
      <c r="F81" s="419">
        <v>15</v>
      </c>
      <c r="G81" s="419">
        <v>15</v>
      </c>
      <c r="H81" s="419">
        <v>15</v>
      </c>
      <c r="I81" s="419">
        <v>15</v>
      </c>
      <c r="J81" s="419">
        <v>15</v>
      </c>
      <c r="K81" s="419">
        <v>15</v>
      </c>
      <c r="L81" s="419">
        <v>15</v>
      </c>
      <c r="M81" s="419">
        <v>15</v>
      </c>
      <c r="N81" s="419">
        <v>15</v>
      </c>
      <c r="O81" s="419">
        <v>15</v>
      </c>
      <c r="P81" s="419">
        <v>15</v>
      </c>
      <c r="Q81" s="419">
        <v>15</v>
      </c>
      <c r="R81" s="419">
        <v>15</v>
      </c>
      <c r="S81" s="419">
        <v>15</v>
      </c>
      <c r="T81" s="419">
        <v>15</v>
      </c>
    </row>
    <row r="82" spans="1:20">
      <c r="A82" s="949"/>
      <c r="B82" s="953" t="s">
        <v>510</v>
      </c>
      <c r="C82" s="954"/>
      <c r="D82" s="954"/>
      <c r="E82" s="955"/>
      <c r="F82" s="447">
        <f>F81*F80</f>
        <v>30</v>
      </c>
      <c r="G82" s="518">
        <f>G81*G80</f>
        <v>45</v>
      </c>
      <c r="H82" s="518">
        <f t="shared" ref="H82:T82" si="26">H81*H80</f>
        <v>75</v>
      </c>
      <c r="I82" s="518">
        <f t="shared" si="26"/>
        <v>45</v>
      </c>
      <c r="J82" s="518">
        <f t="shared" si="26"/>
        <v>75</v>
      </c>
      <c r="K82" s="518">
        <f t="shared" si="26"/>
        <v>75</v>
      </c>
      <c r="L82" s="518">
        <f t="shared" si="26"/>
        <v>75</v>
      </c>
      <c r="M82" s="518">
        <f t="shared" si="26"/>
        <v>75</v>
      </c>
      <c r="N82" s="518">
        <f t="shared" si="26"/>
        <v>75</v>
      </c>
      <c r="O82" s="518">
        <f t="shared" si="26"/>
        <v>75</v>
      </c>
      <c r="P82" s="518">
        <f t="shared" si="26"/>
        <v>15</v>
      </c>
      <c r="Q82" s="518">
        <f t="shared" si="26"/>
        <v>15</v>
      </c>
      <c r="R82" s="518">
        <f t="shared" si="26"/>
        <v>15</v>
      </c>
      <c r="S82" s="518">
        <f t="shared" si="26"/>
        <v>15</v>
      </c>
      <c r="T82" s="518">
        <f t="shared" si="26"/>
        <v>60</v>
      </c>
    </row>
    <row r="83" spans="1:20" ht="58.5" customHeight="1">
      <c r="A83" s="950"/>
      <c r="B83" s="568">
        <v>28</v>
      </c>
      <c r="C83" s="959" t="s">
        <v>597</v>
      </c>
      <c r="D83" s="960"/>
      <c r="E83" s="419" t="s">
        <v>623</v>
      </c>
      <c r="F83" s="543">
        <v>3</v>
      </c>
      <c r="G83" s="530">
        <v>3</v>
      </c>
      <c r="H83" s="531">
        <v>5</v>
      </c>
      <c r="I83" s="548">
        <v>2</v>
      </c>
      <c r="J83" s="533">
        <v>5</v>
      </c>
      <c r="K83" s="534">
        <v>5</v>
      </c>
      <c r="L83" s="535">
        <v>5</v>
      </c>
      <c r="M83" s="549">
        <v>5</v>
      </c>
      <c r="N83" s="536">
        <v>5</v>
      </c>
      <c r="O83" s="537">
        <v>5</v>
      </c>
      <c r="P83" s="538">
        <v>1</v>
      </c>
      <c r="Q83" s="432">
        <v>0</v>
      </c>
      <c r="R83" s="540">
        <v>1</v>
      </c>
      <c r="S83" s="541">
        <v>1</v>
      </c>
      <c r="T83" s="542">
        <v>4</v>
      </c>
    </row>
    <row r="84" spans="1:20">
      <c r="A84" s="464"/>
      <c r="B84" s="953" t="s">
        <v>509</v>
      </c>
      <c r="C84" s="954"/>
      <c r="D84" s="954"/>
      <c r="E84" s="955"/>
      <c r="F84" s="419">
        <v>14</v>
      </c>
      <c r="G84" s="419">
        <v>14</v>
      </c>
      <c r="H84" s="419">
        <v>14</v>
      </c>
      <c r="I84" s="419">
        <v>14</v>
      </c>
      <c r="J84" s="419">
        <v>14</v>
      </c>
      <c r="K84" s="419">
        <v>14</v>
      </c>
      <c r="L84" s="419">
        <v>14</v>
      </c>
      <c r="M84" s="419">
        <v>14</v>
      </c>
      <c r="N84" s="419">
        <v>14</v>
      </c>
      <c r="O84" s="419">
        <v>14</v>
      </c>
      <c r="P84" s="419">
        <v>14</v>
      </c>
      <c r="Q84" s="419"/>
      <c r="R84" s="419">
        <v>14</v>
      </c>
      <c r="S84" s="419">
        <v>14</v>
      </c>
      <c r="T84" s="419">
        <v>14</v>
      </c>
    </row>
    <row r="85" spans="1:20">
      <c r="A85" s="464"/>
      <c r="B85" s="953" t="s">
        <v>510</v>
      </c>
      <c r="C85" s="954"/>
      <c r="D85" s="954"/>
      <c r="E85" s="955"/>
      <c r="F85" s="447">
        <f>F84*F83</f>
        <v>42</v>
      </c>
      <c r="G85" s="518">
        <f>G84*G83</f>
        <v>42</v>
      </c>
      <c r="H85" s="518">
        <f t="shared" ref="H85:T85" si="27">H84*H83</f>
        <v>70</v>
      </c>
      <c r="I85" s="518">
        <f t="shared" si="27"/>
        <v>28</v>
      </c>
      <c r="J85" s="518">
        <f t="shared" si="27"/>
        <v>70</v>
      </c>
      <c r="K85" s="518">
        <f t="shared" si="27"/>
        <v>70</v>
      </c>
      <c r="L85" s="518">
        <f t="shared" si="27"/>
        <v>70</v>
      </c>
      <c r="M85" s="518">
        <f t="shared" si="27"/>
        <v>70</v>
      </c>
      <c r="N85" s="518">
        <f t="shared" si="27"/>
        <v>70</v>
      </c>
      <c r="O85" s="518">
        <f t="shared" si="27"/>
        <v>70</v>
      </c>
      <c r="P85" s="518">
        <f t="shared" si="27"/>
        <v>14</v>
      </c>
      <c r="Q85" s="518">
        <f t="shared" si="27"/>
        <v>0</v>
      </c>
      <c r="R85" s="518">
        <f t="shared" si="27"/>
        <v>14</v>
      </c>
      <c r="S85" s="518">
        <f t="shared" si="27"/>
        <v>14</v>
      </c>
      <c r="T85" s="518">
        <f t="shared" si="27"/>
        <v>56</v>
      </c>
    </row>
    <row r="86" spans="1:20">
      <c r="A86" s="948" t="s">
        <v>629</v>
      </c>
      <c r="B86" s="568">
        <v>29</v>
      </c>
      <c r="C86" s="959" t="s">
        <v>596</v>
      </c>
      <c r="D86" s="960"/>
      <c r="E86" s="419" t="s">
        <v>623</v>
      </c>
      <c r="F86" s="436">
        <v>0</v>
      </c>
      <c r="G86" s="423">
        <v>0</v>
      </c>
      <c r="H86" s="440">
        <v>0</v>
      </c>
      <c r="I86" s="437">
        <v>0</v>
      </c>
      <c r="J86" s="533">
        <v>3</v>
      </c>
      <c r="K86" s="534">
        <v>3</v>
      </c>
      <c r="L86" s="421">
        <v>0</v>
      </c>
      <c r="M86" s="438">
        <v>0</v>
      </c>
      <c r="N86" s="536">
        <v>3</v>
      </c>
      <c r="O86" s="441">
        <v>0</v>
      </c>
      <c r="P86" s="439">
        <v>0</v>
      </c>
      <c r="Q86" s="432">
        <v>0</v>
      </c>
      <c r="R86" s="433">
        <v>0</v>
      </c>
      <c r="S86" s="434">
        <v>0</v>
      </c>
      <c r="T86" s="542">
        <v>1</v>
      </c>
    </row>
    <row r="87" spans="1:20">
      <c r="A87" s="949"/>
      <c r="B87" s="953" t="s">
        <v>509</v>
      </c>
      <c r="C87" s="954"/>
      <c r="D87" s="954"/>
      <c r="E87" s="955"/>
      <c r="F87" s="419"/>
      <c r="G87" s="419"/>
      <c r="H87" s="419"/>
      <c r="I87" s="419"/>
      <c r="J87" s="419">
        <v>16</v>
      </c>
      <c r="K87" s="419">
        <v>16</v>
      </c>
      <c r="L87" s="419"/>
      <c r="M87" s="419"/>
      <c r="N87" s="419">
        <v>16</v>
      </c>
      <c r="O87" s="419"/>
      <c r="P87" s="419"/>
      <c r="Q87" s="419"/>
      <c r="R87" s="419"/>
      <c r="S87" s="419"/>
      <c r="T87" s="419">
        <v>16</v>
      </c>
    </row>
    <row r="88" spans="1:20">
      <c r="A88" s="949"/>
      <c r="B88" s="953" t="s">
        <v>510</v>
      </c>
      <c r="C88" s="954"/>
      <c r="D88" s="954"/>
      <c r="E88" s="955"/>
      <c r="F88" s="447">
        <f>F87*F86</f>
        <v>0</v>
      </c>
      <c r="G88" s="518">
        <f>G87*G86</f>
        <v>0</v>
      </c>
      <c r="H88" s="518">
        <f t="shared" ref="H88:T88" si="28">H87*H86</f>
        <v>0</v>
      </c>
      <c r="I88" s="518">
        <f t="shared" si="28"/>
        <v>0</v>
      </c>
      <c r="J88" s="518">
        <f t="shared" si="28"/>
        <v>48</v>
      </c>
      <c r="K88" s="518">
        <f t="shared" si="28"/>
        <v>48</v>
      </c>
      <c r="L88" s="518">
        <f t="shared" si="28"/>
        <v>0</v>
      </c>
      <c r="M88" s="518">
        <f t="shared" si="28"/>
        <v>0</v>
      </c>
      <c r="N88" s="518">
        <f t="shared" si="28"/>
        <v>48</v>
      </c>
      <c r="O88" s="518">
        <f t="shared" si="28"/>
        <v>0</v>
      </c>
      <c r="P88" s="518">
        <f t="shared" si="28"/>
        <v>0</v>
      </c>
      <c r="Q88" s="518">
        <f t="shared" si="28"/>
        <v>0</v>
      </c>
      <c r="R88" s="518">
        <f t="shared" si="28"/>
        <v>0</v>
      </c>
      <c r="S88" s="518">
        <f t="shared" si="28"/>
        <v>0</v>
      </c>
      <c r="T88" s="518">
        <f t="shared" si="28"/>
        <v>16</v>
      </c>
    </row>
    <row r="89" spans="1:20" ht="62.25" customHeight="1">
      <c r="A89" s="949"/>
      <c r="B89" s="568">
        <v>30</v>
      </c>
      <c r="C89" s="959" t="s">
        <v>595</v>
      </c>
      <c r="D89" s="960"/>
      <c r="E89" s="419" t="s">
        <v>630</v>
      </c>
      <c r="F89" s="446">
        <v>2</v>
      </c>
      <c r="G89" s="518">
        <v>2</v>
      </c>
      <c r="H89" s="424">
        <v>3</v>
      </c>
      <c r="I89" s="425">
        <v>1</v>
      </c>
      <c r="J89" s="519">
        <v>2</v>
      </c>
      <c r="K89" s="520">
        <v>2</v>
      </c>
      <c r="L89" s="420">
        <v>3</v>
      </c>
      <c r="M89" s="428">
        <v>1</v>
      </c>
      <c r="N89" s="521">
        <v>2</v>
      </c>
      <c r="O89" s="430">
        <v>1</v>
      </c>
      <c r="P89" s="431">
        <v>1</v>
      </c>
      <c r="Q89" s="448">
        <v>3</v>
      </c>
      <c r="R89" s="443">
        <v>1</v>
      </c>
      <c r="S89" s="444">
        <v>1</v>
      </c>
      <c r="T89" s="445">
        <v>2</v>
      </c>
    </row>
    <row r="90" spans="1:20">
      <c r="A90" s="949"/>
      <c r="B90" s="953" t="s">
        <v>509</v>
      </c>
      <c r="C90" s="954"/>
      <c r="D90" s="954"/>
      <c r="E90" s="955"/>
      <c r="F90" s="419">
        <v>4</v>
      </c>
      <c r="G90" s="419">
        <v>4</v>
      </c>
      <c r="H90" s="419">
        <v>4</v>
      </c>
      <c r="I90" s="419">
        <v>4</v>
      </c>
      <c r="J90" s="419">
        <v>4</v>
      </c>
      <c r="K90" s="419">
        <v>4</v>
      </c>
      <c r="L90" s="419">
        <v>4</v>
      </c>
      <c r="M90" s="419">
        <v>4</v>
      </c>
      <c r="N90" s="419">
        <v>4</v>
      </c>
      <c r="O90" s="419">
        <v>4</v>
      </c>
      <c r="P90" s="419">
        <v>4</v>
      </c>
      <c r="Q90" s="419">
        <v>4</v>
      </c>
      <c r="R90" s="419">
        <v>4</v>
      </c>
      <c r="S90" s="419">
        <v>4</v>
      </c>
      <c r="T90" s="419">
        <v>4</v>
      </c>
    </row>
    <row r="91" spans="1:20">
      <c r="A91" s="949"/>
      <c r="B91" s="953" t="s">
        <v>510</v>
      </c>
      <c r="C91" s="954"/>
      <c r="D91" s="954"/>
      <c r="E91" s="955"/>
      <c r="F91" s="447">
        <f>F90*F89</f>
        <v>8</v>
      </c>
      <c r="G91" s="518">
        <f>G90*G89</f>
        <v>8</v>
      </c>
      <c r="H91" s="518">
        <f t="shared" ref="H91:T91" si="29">H90*H89</f>
        <v>12</v>
      </c>
      <c r="I91" s="518">
        <f t="shared" si="29"/>
        <v>4</v>
      </c>
      <c r="J91" s="518">
        <f t="shared" si="29"/>
        <v>8</v>
      </c>
      <c r="K91" s="518">
        <f t="shared" si="29"/>
        <v>8</v>
      </c>
      <c r="L91" s="518">
        <f t="shared" si="29"/>
        <v>12</v>
      </c>
      <c r="M91" s="518">
        <f t="shared" si="29"/>
        <v>4</v>
      </c>
      <c r="N91" s="518">
        <f t="shared" si="29"/>
        <v>8</v>
      </c>
      <c r="O91" s="518">
        <f t="shared" si="29"/>
        <v>4</v>
      </c>
      <c r="P91" s="518">
        <f t="shared" si="29"/>
        <v>4</v>
      </c>
      <c r="Q91" s="518">
        <f t="shared" si="29"/>
        <v>12</v>
      </c>
      <c r="R91" s="518">
        <f t="shared" si="29"/>
        <v>4</v>
      </c>
      <c r="S91" s="518">
        <f t="shared" si="29"/>
        <v>4</v>
      </c>
      <c r="T91" s="518">
        <f t="shared" si="29"/>
        <v>8</v>
      </c>
    </row>
    <row r="92" spans="1:20" ht="48" customHeight="1">
      <c r="A92" s="949"/>
      <c r="B92" s="568">
        <v>31</v>
      </c>
      <c r="C92" s="959" t="s">
        <v>631</v>
      </c>
      <c r="D92" s="960"/>
      <c r="E92" s="419" t="s">
        <v>400</v>
      </c>
      <c r="F92" s="446">
        <v>3</v>
      </c>
      <c r="G92" s="518">
        <v>3</v>
      </c>
      <c r="H92" s="424">
        <v>5</v>
      </c>
      <c r="I92" s="425">
        <v>1</v>
      </c>
      <c r="J92" s="426">
        <v>0</v>
      </c>
      <c r="K92" s="427">
        <v>0</v>
      </c>
      <c r="L92" s="420">
        <v>5</v>
      </c>
      <c r="M92" s="428">
        <v>16</v>
      </c>
      <c r="N92" s="429">
        <v>0</v>
      </c>
      <c r="O92" s="430">
        <v>5</v>
      </c>
      <c r="P92" s="431">
        <v>2</v>
      </c>
      <c r="Q92" s="448">
        <v>1</v>
      </c>
      <c r="R92" s="433">
        <v>0</v>
      </c>
      <c r="S92" s="434">
        <v>0</v>
      </c>
      <c r="T92" s="445">
        <v>1</v>
      </c>
    </row>
    <row r="93" spans="1:20">
      <c r="A93" s="949"/>
      <c r="B93" s="953" t="s">
        <v>509</v>
      </c>
      <c r="C93" s="954"/>
      <c r="D93" s="954"/>
      <c r="E93" s="955"/>
      <c r="F93" s="419">
        <v>16</v>
      </c>
      <c r="G93" s="419">
        <v>16</v>
      </c>
      <c r="H93" s="419">
        <v>16</v>
      </c>
      <c r="I93" s="419">
        <v>16</v>
      </c>
      <c r="J93" s="419"/>
      <c r="K93" s="419"/>
      <c r="L93" s="419">
        <v>16</v>
      </c>
      <c r="M93" s="419">
        <v>16</v>
      </c>
      <c r="N93" s="419"/>
      <c r="O93" s="419">
        <v>16</v>
      </c>
      <c r="P93" s="419">
        <v>16</v>
      </c>
      <c r="Q93" s="419">
        <v>16</v>
      </c>
      <c r="R93" s="419"/>
      <c r="S93" s="419"/>
      <c r="T93" s="419">
        <v>16</v>
      </c>
    </row>
    <row r="94" spans="1:20">
      <c r="A94" s="949"/>
      <c r="B94" s="953" t="s">
        <v>510</v>
      </c>
      <c r="C94" s="954"/>
      <c r="D94" s="954"/>
      <c r="E94" s="955"/>
      <c r="F94" s="447">
        <f>F93*F92</f>
        <v>48</v>
      </c>
      <c r="G94" s="518">
        <f>G93*G92</f>
        <v>48</v>
      </c>
      <c r="H94" s="518">
        <f t="shared" ref="H94:T94" si="30">H93*H92</f>
        <v>80</v>
      </c>
      <c r="I94" s="518">
        <f t="shared" si="30"/>
        <v>16</v>
      </c>
      <c r="J94" s="518">
        <f t="shared" si="30"/>
        <v>0</v>
      </c>
      <c r="K94" s="518">
        <f t="shared" si="30"/>
        <v>0</v>
      </c>
      <c r="L94" s="518">
        <f t="shared" si="30"/>
        <v>80</v>
      </c>
      <c r="M94" s="518">
        <f t="shared" si="30"/>
        <v>256</v>
      </c>
      <c r="N94" s="518">
        <f t="shared" si="30"/>
        <v>0</v>
      </c>
      <c r="O94" s="518">
        <f t="shared" si="30"/>
        <v>80</v>
      </c>
      <c r="P94" s="518">
        <f t="shared" si="30"/>
        <v>32</v>
      </c>
      <c r="Q94" s="518">
        <f t="shared" si="30"/>
        <v>16</v>
      </c>
      <c r="R94" s="518">
        <f t="shared" si="30"/>
        <v>0</v>
      </c>
      <c r="S94" s="518">
        <f t="shared" si="30"/>
        <v>0</v>
      </c>
      <c r="T94" s="518">
        <f t="shared" si="30"/>
        <v>16</v>
      </c>
    </row>
    <row r="95" spans="1:20" ht="90" customHeight="1">
      <c r="A95" s="949"/>
      <c r="B95" s="568">
        <v>32</v>
      </c>
      <c r="C95" s="959" t="s">
        <v>632</v>
      </c>
      <c r="D95" s="960"/>
      <c r="E95" s="419" t="s">
        <v>633</v>
      </c>
      <c r="F95" s="446">
        <v>2</v>
      </c>
      <c r="G95" s="518">
        <v>2</v>
      </c>
      <c r="H95" s="522"/>
      <c r="I95" s="551">
        <v>2</v>
      </c>
      <c r="J95" s="552">
        <v>2</v>
      </c>
      <c r="K95" s="553">
        <v>2</v>
      </c>
      <c r="L95" s="554">
        <v>5</v>
      </c>
      <c r="M95" s="555">
        <v>2</v>
      </c>
      <c r="N95" s="556">
        <v>2</v>
      </c>
      <c r="O95" s="557">
        <v>2</v>
      </c>
      <c r="P95" s="558">
        <v>1</v>
      </c>
      <c r="Q95" s="559">
        <v>2</v>
      </c>
      <c r="R95" s="560">
        <v>1</v>
      </c>
      <c r="S95" s="561">
        <v>1</v>
      </c>
      <c r="T95" s="445">
        <v>1</v>
      </c>
    </row>
    <row r="96" spans="1:20">
      <c r="A96" s="949"/>
      <c r="B96" s="953" t="s">
        <v>509</v>
      </c>
      <c r="C96" s="954"/>
      <c r="D96" s="954"/>
      <c r="E96" s="955"/>
      <c r="F96" s="419">
        <v>30</v>
      </c>
      <c r="G96" s="419">
        <v>30</v>
      </c>
      <c r="H96" s="419">
        <v>30</v>
      </c>
      <c r="I96" s="419">
        <v>30</v>
      </c>
      <c r="J96" s="419">
        <v>30</v>
      </c>
      <c r="K96" s="419">
        <v>30</v>
      </c>
      <c r="L96" s="419">
        <v>30</v>
      </c>
      <c r="M96" s="419">
        <v>30</v>
      </c>
      <c r="N96" s="419">
        <v>30</v>
      </c>
      <c r="O96" s="419">
        <v>30</v>
      </c>
      <c r="P96" s="419">
        <v>30</v>
      </c>
      <c r="Q96" s="419">
        <v>30</v>
      </c>
      <c r="R96" s="419">
        <v>30</v>
      </c>
      <c r="S96" s="419">
        <v>30</v>
      </c>
      <c r="T96" s="419">
        <v>30</v>
      </c>
    </row>
    <row r="97" spans="1:20">
      <c r="A97" s="949"/>
      <c r="B97" s="953" t="s">
        <v>510</v>
      </c>
      <c r="C97" s="954"/>
      <c r="D97" s="954"/>
      <c r="E97" s="955"/>
      <c r="F97" s="447">
        <f>F96*F95</f>
        <v>60</v>
      </c>
      <c r="G97" s="518">
        <f>G96*G95</f>
        <v>60</v>
      </c>
      <c r="H97" s="518">
        <f t="shared" ref="H97:T97" si="31">H96*H95</f>
        <v>0</v>
      </c>
      <c r="I97" s="518">
        <f t="shared" si="31"/>
        <v>60</v>
      </c>
      <c r="J97" s="518">
        <f t="shared" si="31"/>
        <v>60</v>
      </c>
      <c r="K97" s="518">
        <f t="shared" si="31"/>
        <v>60</v>
      </c>
      <c r="L97" s="518">
        <f t="shared" si="31"/>
        <v>150</v>
      </c>
      <c r="M97" s="518">
        <f t="shared" si="31"/>
        <v>60</v>
      </c>
      <c r="N97" s="518">
        <f t="shared" si="31"/>
        <v>60</v>
      </c>
      <c r="O97" s="518">
        <f t="shared" si="31"/>
        <v>60</v>
      </c>
      <c r="P97" s="518">
        <f t="shared" si="31"/>
        <v>30</v>
      </c>
      <c r="Q97" s="518">
        <f t="shared" si="31"/>
        <v>60</v>
      </c>
      <c r="R97" s="518">
        <f t="shared" si="31"/>
        <v>30</v>
      </c>
      <c r="S97" s="518">
        <f t="shared" si="31"/>
        <v>30</v>
      </c>
      <c r="T97" s="518">
        <f t="shared" si="31"/>
        <v>30</v>
      </c>
    </row>
    <row r="98" spans="1:20" ht="93" customHeight="1">
      <c r="A98" s="949"/>
      <c r="B98" s="568">
        <v>33</v>
      </c>
      <c r="C98" s="959" t="s">
        <v>634</v>
      </c>
      <c r="D98" s="960"/>
      <c r="E98" s="419" t="s">
        <v>633</v>
      </c>
      <c r="F98" s="436">
        <v>0</v>
      </c>
      <c r="G98" s="423">
        <v>0</v>
      </c>
      <c r="H98" s="440">
        <v>0</v>
      </c>
      <c r="I98" s="437">
        <v>0</v>
      </c>
      <c r="J98" s="426">
        <v>0</v>
      </c>
      <c r="K98" s="427">
        <v>0</v>
      </c>
      <c r="L98" s="420">
        <v>5</v>
      </c>
      <c r="M98" s="428">
        <v>5</v>
      </c>
      <c r="N98" s="429">
        <v>0</v>
      </c>
      <c r="O98" s="441">
        <v>0</v>
      </c>
      <c r="P98" s="439">
        <v>0</v>
      </c>
      <c r="Q98" s="432">
        <v>0</v>
      </c>
      <c r="R98" s="433">
        <v>0</v>
      </c>
      <c r="S98" s="434">
        <v>0</v>
      </c>
      <c r="T98" s="435">
        <v>0</v>
      </c>
    </row>
    <row r="99" spans="1:20">
      <c r="A99" s="949"/>
      <c r="B99" s="953" t="s">
        <v>509</v>
      </c>
      <c r="C99" s="954"/>
      <c r="D99" s="954"/>
      <c r="E99" s="955"/>
      <c r="F99" s="419"/>
      <c r="G99" s="419"/>
      <c r="H99" s="419"/>
      <c r="I99" s="419"/>
      <c r="J99" s="419"/>
      <c r="K99" s="419"/>
      <c r="L99" s="419">
        <v>20</v>
      </c>
      <c r="M99" s="419">
        <v>20</v>
      </c>
      <c r="N99" s="419"/>
      <c r="O99" s="419"/>
      <c r="P99" s="419"/>
      <c r="Q99" s="419"/>
      <c r="R99" s="419"/>
      <c r="S99" s="419"/>
      <c r="T99" s="419"/>
    </row>
    <row r="100" spans="1:20">
      <c r="A100" s="949"/>
      <c r="B100" s="953" t="s">
        <v>510</v>
      </c>
      <c r="C100" s="954"/>
      <c r="D100" s="954"/>
      <c r="E100" s="955"/>
      <c r="F100" s="447">
        <f>F99*F98</f>
        <v>0</v>
      </c>
      <c r="G100" s="518">
        <f>G99*G98</f>
        <v>0</v>
      </c>
      <c r="H100" s="518">
        <f t="shared" ref="H100:T100" si="32">H99*H98</f>
        <v>0</v>
      </c>
      <c r="I100" s="518">
        <f t="shared" si="32"/>
        <v>0</v>
      </c>
      <c r="J100" s="518">
        <f t="shared" si="32"/>
        <v>0</v>
      </c>
      <c r="K100" s="518">
        <f t="shared" si="32"/>
        <v>0</v>
      </c>
      <c r="L100" s="518">
        <f t="shared" si="32"/>
        <v>100</v>
      </c>
      <c r="M100" s="518">
        <f t="shared" si="32"/>
        <v>100</v>
      </c>
      <c r="N100" s="518">
        <f t="shared" si="32"/>
        <v>0</v>
      </c>
      <c r="O100" s="518">
        <f t="shared" si="32"/>
        <v>0</v>
      </c>
      <c r="P100" s="518">
        <f t="shared" si="32"/>
        <v>0</v>
      </c>
      <c r="Q100" s="518">
        <f t="shared" si="32"/>
        <v>0</v>
      </c>
      <c r="R100" s="518">
        <f t="shared" si="32"/>
        <v>0</v>
      </c>
      <c r="S100" s="518">
        <f t="shared" si="32"/>
        <v>0</v>
      </c>
      <c r="T100" s="518">
        <f t="shared" si="32"/>
        <v>0</v>
      </c>
    </row>
    <row r="101" spans="1:20" ht="82.5" customHeight="1">
      <c r="A101" s="949"/>
      <c r="B101" s="568">
        <v>34</v>
      </c>
      <c r="C101" s="959" t="s">
        <v>594</v>
      </c>
      <c r="D101" s="960"/>
      <c r="E101" s="419" t="s">
        <v>400</v>
      </c>
      <c r="F101" s="447">
        <v>5</v>
      </c>
      <c r="G101" s="423">
        <v>0</v>
      </c>
      <c r="H101" s="424">
        <v>8</v>
      </c>
      <c r="I101" s="425">
        <v>2</v>
      </c>
      <c r="J101" s="426">
        <v>0</v>
      </c>
      <c r="K101" s="427">
        <v>0</v>
      </c>
      <c r="L101" s="420">
        <v>6</v>
      </c>
      <c r="M101" s="438">
        <v>0</v>
      </c>
      <c r="N101" s="429">
        <v>0</v>
      </c>
      <c r="O101" s="441">
        <v>0</v>
      </c>
      <c r="P101" s="439">
        <v>0</v>
      </c>
      <c r="Q101" s="432">
        <v>0</v>
      </c>
      <c r="R101" s="433">
        <v>0</v>
      </c>
      <c r="S101" s="434">
        <v>0</v>
      </c>
      <c r="T101" s="445">
        <v>2</v>
      </c>
    </row>
    <row r="102" spans="1:20">
      <c r="A102" s="949"/>
      <c r="B102" s="953" t="s">
        <v>509</v>
      </c>
      <c r="C102" s="954"/>
      <c r="D102" s="954"/>
      <c r="E102" s="955"/>
      <c r="F102" s="419">
        <v>8</v>
      </c>
      <c r="G102" s="419"/>
      <c r="H102" s="419">
        <v>8</v>
      </c>
      <c r="I102" s="419">
        <v>8</v>
      </c>
      <c r="J102" s="419"/>
      <c r="K102" s="419"/>
      <c r="L102" s="419">
        <v>8</v>
      </c>
      <c r="M102" s="419"/>
      <c r="N102" s="419"/>
      <c r="O102" s="419"/>
      <c r="P102" s="419"/>
      <c r="Q102" s="419"/>
      <c r="R102" s="419"/>
      <c r="S102" s="419"/>
      <c r="T102" s="419">
        <v>8</v>
      </c>
    </row>
    <row r="103" spans="1:20">
      <c r="A103" s="949"/>
      <c r="B103" s="953" t="s">
        <v>510</v>
      </c>
      <c r="C103" s="954"/>
      <c r="D103" s="954"/>
      <c r="E103" s="955"/>
      <c r="F103" s="447">
        <f>F102*F101</f>
        <v>40</v>
      </c>
      <c r="G103" s="518">
        <f>G102*G101</f>
        <v>0</v>
      </c>
      <c r="H103" s="518">
        <f t="shared" ref="H103:T103" si="33">H102*H101</f>
        <v>64</v>
      </c>
      <c r="I103" s="518">
        <f t="shared" si="33"/>
        <v>16</v>
      </c>
      <c r="J103" s="518">
        <f t="shared" si="33"/>
        <v>0</v>
      </c>
      <c r="K103" s="518">
        <f t="shared" si="33"/>
        <v>0</v>
      </c>
      <c r="L103" s="518">
        <f t="shared" si="33"/>
        <v>48</v>
      </c>
      <c r="M103" s="518">
        <f t="shared" si="33"/>
        <v>0</v>
      </c>
      <c r="N103" s="518">
        <f t="shared" si="33"/>
        <v>0</v>
      </c>
      <c r="O103" s="518">
        <f t="shared" si="33"/>
        <v>0</v>
      </c>
      <c r="P103" s="518">
        <f t="shared" si="33"/>
        <v>0</v>
      </c>
      <c r="Q103" s="518">
        <f t="shared" si="33"/>
        <v>0</v>
      </c>
      <c r="R103" s="518">
        <f t="shared" si="33"/>
        <v>0</v>
      </c>
      <c r="S103" s="518">
        <f t="shared" si="33"/>
        <v>0</v>
      </c>
      <c r="T103" s="518">
        <f t="shared" si="33"/>
        <v>16</v>
      </c>
    </row>
    <row r="104" spans="1:20" ht="69" customHeight="1">
      <c r="A104" s="949"/>
      <c r="B104" s="568">
        <v>35</v>
      </c>
      <c r="C104" s="959" t="s">
        <v>585</v>
      </c>
      <c r="D104" s="960"/>
      <c r="E104" s="419" t="s">
        <v>584</v>
      </c>
      <c r="F104" s="436">
        <v>0</v>
      </c>
      <c r="G104" s="423">
        <v>0</v>
      </c>
      <c r="H104" s="440">
        <v>0</v>
      </c>
      <c r="I104" s="437">
        <v>0</v>
      </c>
      <c r="J104" s="426">
        <v>0</v>
      </c>
      <c r="K104" s="427">
        <v>0</v>
      </c>
      <c r="L104" s="421">
        <v>0</v>
      </c>
      <c r="M104" s="428">
        <v>5</v>
      </c>
      <c r="N104" s="521">
        <v>5</v>
      </c>
      <c r="O104" s="430">
        <v>5</v>
      </c>
      <c r="P104" s="431">
        <v>5</v>
      </c>
      <c r="Q104" s="432">
        <v>0</v>
      </c>
      <c r="R104" s="443">
        <v>1</v>
      </c>
      <c r="S104" s="434">
        <v>0</v>
      </c>
      <c r="T104" s="435">
        <v>0</v>
      </c>
    </row>
    <row r="105" spans="1:20">
      <c r="A105" s="464"/>
      <c r="B105" s="953" t="s">
        <v>509</v>
      </c>
      <c r="C105" s="954"/>
      <c r="D105" s="954"/>
      <c r="E105" s="955"/>
      <c r="F105" s="419"/>
      <c r="G105" s="419"/>
      <c r="H105" s="419"/>
      <c r="I105" s="419"/>
      <c r="J105" s="419"/>
      <c r="K105" s="419"/>
      <c r="L105" s="419"/>
      <c r="M105" s="419">
        <v>12</v>
      </c>
      <c r="N105" s="419">
        <v>12</v>
      </c>
      <c r="O105" s="419"/>
      <c r="P105" s="419"/>
      <c r="Q105" s="419"/>
      <c r="R105" s="419"/>
      <c r="S105" s="419"/>
      <c r="T105" s="419"/>
    </row>
    <row r="106" spans="1:20" s="304" customFormat="1">
      <c r="A106" s="578"/>
      <c r="B106" s="579"/>
      <c r="C106" s="580"/>
      <c r="D106" s="580"/>
      <c r="E106" s="581"/>
      <c r="F106" s="419"/>
      <c r="G106" s="419"/>
      <c r="H106" s="419"/>
      <c r="I106" s="419"/>
      <c r="J106" s="419"/>
      <c r="K106" s="419"/>
      <c r="L106" s="419"/>
      <c r="M106" s="419"/>
      <c r="N106" s="419"/>
      <c r="O106" s="419"/>
      <c r="P106" s="419"/>
      <c r="Q106" s="419"/>
      <c r="R106" s="419"/>
      <c r="S106" s="419"/>
      <c r="T106" s="419"/>
    </row>
    <row r="107" spans="1:20">
      <c r="A107" s="464"/>
      <c r="B107" s="953" t="s">
        <v>510</v>
      </c>
      <c r="C107" s="954"/>
      <c r="D107" s="954"/>
      <c r="E107" s="955"/>
      <c r="F107" s="447">
        <f t="shared" ref="F107:T107" si="34">F105*F104</f>
        <v>0</v>
      </c>
      <c r="G107" s="518">
        <f t="shared" si="34"/>
        <v>0</v>
      </c>
      <c r="H107" s="518">
        <f t="shared" si="34"/>
        <v>0</v>
      </c>
      <c r="I107" s="518">
        <f t="shared" si="34"/>
        <v>0</v>
      </c>
      <c r="J107" s="518">
        <f t="shared" si="34"/>
        <v>0</v>
      </c>
      <c r="K107" s="518">
        <f t="shared" si="34"/>
        <v>0</v>
      </c>
      <c r="L107" s="518">
        <f t="shared" si="34"/>
        <v>0</v>
      </c>
      <c r="M107" s="518">
        <f t="shared" si="34"/>
        <v>60</v>
      </c>
      <c r="N107" s="518">
        <f t="shared" si="34"/>
        <v>60</v>
      </c>
      <c r="O107" s="518">
        <f t="shared" si="34"/>
        <v>0</v>
      </c>
      <c r="P107" s="518">
        <f t="shared" si="34"/>
        <v>0</v>
      </c>
      <c r="Q107" s="518">
        <f t="shared" si="34"/>
        <v>0</v>
      </c>
      <c r="R107" s="518">
        <f t="shared" si="34"/>
        <v>0</v>
      </c>
      <c r="S107" s="518">
        <f t="shared" si="34"/>
        <v>0</v>
      </c>
      <c r="T107" s="518">
        <f t="shared" si="34"/>
        <v>0</v>
      </c>
    </row>
    <row r="108" spans="1:20" s="304" customFormat="1" ht="66" customHeight="1">
      <c r="A108" s="578"/>
      <c r="B108" s="568">
        <v>36</v>
      </c>
      <c r="C108" s="959" t="s">
        <v>658</v>
      </c>
      <c r="D108" s="960"/>
      <c r="E108" s="419" t="s">
        <v>584</v>
      </c>
      <c r="F108" s="436">
        <v>0</v>
      </c>
      <c r="G108" s="423">
        <v>0</v>
      </c>
      <c r="H108" s="440">
        <v>0</v>
      </c>
      <c r="I108" s="437">
        <v>0</v>
      </c>
      <c r="J108" s="426">
        <v>0</v>
      </c>
      <c r="K108" s="427">
        <v>0</v>
      </c>
      <c r="L108" s="421">
        <v>0</v>
      </c>
      <c r="M108" s="583">
        <v>0</v>
      </c>
      <c r="N108" s="584">
        <v>0</v>
      </c>
      <c r="O108" s="585">
        <v>0</v>
      </c>
      <c r="P108" s="586">
        <v>0</v>
      </c>
      <c r="Q108" s="432">
        <v>0</v>
      </c>
      <c r="R108" s="582">
        <v>0</v>
      </c>
      <c r="S108" s="434">
        <v>0</v>
      </c>
      <c r="T108" s="435">
        <v>0</v>
      </c>
    </row>
    <row r="109" spans="1:20" s="304" customFormat="1">
      <c r="A109" s="578"/>
      <c r="B109" s="953" t="s">
        <v>509</v>
      </c>
      <c r="C109" s="954"/>
      <c r="D109" s="954"/>
      <c r="E109" s="955"/>
      <c r="F109" s="419"/>
      <c r="G109" s="419"/>
      <c r="H109" s="419"/>
      <c r="I109" s="419"/>
      <c r="J109" s="419"/>
      <c r="K109" s="419"/>
      <c r="L109" s="419"/>
      <c r="M109" s="419"/>
      <c r="N109" s="419"/>
      <c r="O109" s="419"/>
      <c r="P109" s="419"/>
      <c r="Q109" s="419"/>
      <c r="R109" s="419"/>
      <c r="S109" s="419"/>
      <c r="T109" s="419"/>
    </row>
    <row r="110" spans="1:20" s="304" customFormat="1">
      <c r="A110" s="578"/>
      <c r="B110" s="579"/>
      <c r="C110" s="580"/>
      <c r="D110" s="580"/>
      <c r="E110" s="581"/>
      <c r="F110" s="419"/>
      <c r="G110" s="419"/>
      <c r="H110" s="419"/>
      <c r="I110" s="419"/>
      <c r="J110" s="419"/>
      <c r="K110" s="419"/>
      <c r="L110" s="419"/>
      <c r="M110" s="419"/>
      <c r="N110" s="419"/>
      <c r="O110" s="419"/>
      <c r="P110" s="419"/>
      <c r="Q110" s="419"/>
      <c r="R110" s="419"/>
      <c r="S110" s="419"/>
      <c r="T110" s="419"/>
    </row>
    <row r="111" spans="1:20" s="304" customFormat="1">
      <c r="A111" s="578"/>
      <c r="B111" s="953" t="s">
        <v>510</v>
      </c>
      <c r="C111" s="954"/>
      <c r="D111" s="954"/>
      <c r="E111" s="955"/>
      <c r="F111" s="447">
        <f t="shared" ref="F111:T111" si="35">F109*F108</f>
        <v>0</v>
      </c>
      <c r="G111" s="518">
        <f t="shared" si="35"/>
        <v>0</v>
      </c>
      <c r="H111" s="518">
        <f t="shared" si="35"/>
        <v>0</v>
      </c>
      <c r="I111" s="518">
        <f t="shared" si="35"/>
        <v>0</v>
      </c>
      <c r="J111" s="518">
        <f t="shared" si="35"/>
        <v>0</v>
      </c>
      <c r="K111" s="518">
        <f t="shared" si="35"/>
        <v>0</v>
      </c>
      <c r="L111" s="518">
        <f t="shared" si="35"/>
        <v>0</v>
      </c>
      <c r="M111" s="518">
        <f t="shared" si="35"/>
        <v>0</v>
      </c>
      <c r="N111" s="518">
        <f t="shared" si="35"/>
        <v>0</v>
      </c>
      <c r="O111" s="518">
        <f t="shared" si="35"/>
        <v>0</v>
      </c>
      <c r="P111" s="518">
        <f t="shared" si="35"/>
        <v>0</v>
      </c>
      <c r="Q111" s="518">
        <f t="shared" si="35"/>
        <v>0</v>
      </c>
      <c r="R111" s="518">
        <f t="shared" si="35"/>
        <v>0</v>
      </c>
      <c r="S111" s="518">
        <f t="shared" si="35"/>
        <v>0</v>
      </c>
      <c r="T111" s="518">
        <f t="shared" si="35"/>
        <v>0</v>
      </c>
    </row>
    <row r="112" spans="1:20" ht="71.25" customHeight="1">
      <c r="A112" s="948" t="s">
        <v>635</v>
      </c>
      <c r="B112" s="568">
        <v>37</v>
      </c>
      <c r="C112" s="959" t="s">
        <v>592</v>
      </c>
      <c r="D112" s="960"/>
      <c r="E112" s="419" t="s">
        <v>400</v>
      </c>
      <c r="F112" s="436">
        <v>0</v>
      </c>
      <c r="G112" s="423">
        <v>0</v>
      </c>
      <c r="H112" s="440">
        <v>0</v>
      </c>
      <c r="I112" s="437">
        <v>0</v>
      </c>
      <c r="J112" s="426">
        <v>0</v>
      </c>
      <c r="K112" s="427">
        <v>0</v>
      </c>
      <c r="L112" s="421">
        <v>0</v>
      </c>
      <c r="M112" s="438">
        <v>0</v>
      </c>
      <c r="N112" s="429">
        <v>0</v>
      </c>
      <c r="O112" s="441">
        <v>0</v>
      </c>
      <c r="P112" s="439">
        <v>0</v>
      </c>
      <c r="Q112" s="432">
        <v>0</v>
      </c>
      <c r="R112" s="433">
        <v>0</v>
      </c>
      <c r="S112" s="434">
        <v>0</v>
      </c>
      <c r="T112" s="435">
        <v>0</v>
      </c>
    </row>
    <row r="113" spans="1:21">
      <c r="A113" s="949"/>
      <c r="B113" s="953" t="s">
        <v>509</v>
      </c>
      <c r="C113" s="954"/>
      <c r="D113" s="954"/>
      <c r="E113" s="955"/>
      <c r="F113" s="419"/>
      <c r="G113" s="419"/>
      <c r="H113" s="419"/>
      <c r="I113" s="419"/>
      <c r="J113" s="419"/>
      <c r="K113" s="419"/>
      <c r="L113" s="419"/>
      <c r="M113" s="419"/>
      <c r="N113" s="419"/>
      <c r="O113" s="419"/>
      <c r="P113" s="419"/>
      <c r="Q113" s="419"/>
      <c r="R113" s="419"/>
      <c r="S113" s="419"/>
      <c r="T113" s="419"/>
    </row>
    <row r="114" spans="1:21">
      <c r="A114" s="949"/>
      <c r="B114" s="953" t="s">
        <v>510</v>
      </c>
      <c r="C114" s="954"/>
      <c r="D114" s="954"/>
      <c r="E114" s="955"/>
      <c r="F114" s="447">
        <f>F113*F112</f>
        <v>0</v>
      </c>
      <c r="G114" s="518">
        <f>G113*G112</f>
        <v>0</v>
      </c>
      <c r="H114" s="518">
        <f t="shared" ref="H114:T114" si="36">H113*H112</f>
        <v>0</v>
      </c>
      <c r="I114" s="518">
        <f t="shared" si="36"/>
        <v>0</v>
      </c>
      <c r="J114" s="518">
        <f t="shared" si="36"/>
        <v>0</v>
      </c>
      <c r="K114" s="518">
        <f t="shared" si="36"/>
        <v>0</v>
      </c>
      <c r="L114" s="518">
        <f t="shared" si="36"/>
        <v>0</v>
      </c>
      <c r="M114" s="518">
        <f t="shared" si="36"/>
        <v>0</v>
      </c>
      <c r="N114" s="518">
        <f t="shared" si="36"/>
        <v>0</v>
      </c>
      <c r="O114" s="518">
        <f t="shared" si="36"/>
        <v>0</v>
      </c>
      <c r="P114" s="518">
        <f t="shared" si="36"/>
        <v>0</v>
      </c>
      <c r="Q114" s="518">
        <f t="shared" si="36"/>
        <v>0</v>
      </c>
      <c r="R114" s="518">
        <f t="shared" si="36"/>
        <v>0</v>
      </c>
      <c r="S114" s="518">
        <f t="shared" si="36"/>
        <v>0</v>
      </c>
      <c r="T114" s="518">
        <f t="shared" si="36"/>
        <v>0</v>
      </c>
    </row>
    <row r="115" spans="1:21" ht="75.75" customHeight="1">
      <c r="A115" s="949"/>
      <c r="B115" s="568">
        <v>38</v>
      </c>
      <c r="C115" s="959" t="s">
        <v>591</v>
      </c>
      <c r="D115" s="960"/>
      <c r="E115" s="419" t="s">
        <v>590</v>
      </c>
      <c r="F115" s="436">
        <v>0</v>
      </c>
      <c r="G115" s="423">
        <v>0</v>
      </c>
      <c r="H115" s="440">
        <v>0</v>
      </c>
      <c r="I115" s="437">
        <v>0</v>
      </c>
      <c r="J115" s="426">
        <v>0</v>
      </c>
      <c r="K115" s="427">
        <v>0</v>
      </c>
      <c r="L115" s="421">
        <v>0</v>
      </c>
      <c r="M115" s="438">
        <v>0</v>
      </c>
      <c r="N115" s="429">
        <v>0</v>
      </c>
      <c r="O115" s="441">
        <v>0</v>
      </c>
      <c r="P115" s="439">
        <v>0</v>
      </c>
      <c r="Q115" s="432">
        <v>0</v>
      </c>
      <c r="R115" s="433">
        <v>0</v>
      </c>
      <c r="S115" s="434">
        <v>0</v>
      </c>
      <c r="T115" s="445">
        <v>2</v>
      </c>
    </row>
    <row r="116" spans="1:21">
      <c r="A116" s="949"/>
      <c r="B116" s="953" t="s">
        <v>509</v>
      </c>
      <c r="C116" s="954"/>
      <c r="D116" s="954"/>
      <c r="E116" s="955"/>
      <c r="F116" s="419"/>
      <c r="G116" s="419"/>
      <c r="H116" s="419"/>
      <c r="I116" s="419"/>
      <c r="J116" s="419"/>
      <c r="K116" s="419"/>
      <c r="L116" s="419"/>
      <c r="M116" s="419"/>
      <c r="N116" s="419"/>
      <c r="O116" s="419"/>
      <c r="P116" s="419"/>
      <c r="Q116" s="419"/>
      <c r="R116" s="419"/>
      <c r="S116" s="419"/>
      <c r="T116" s="419">
        <v>18</v>
      </c>
    </row>
    <row r="117" spans="1:21">
      <c r="A117" s="949"/>
      <c r="B117" s="953" t="s">
        <v>510</v>
      </c>
      <c r="C117" s="954"/>
      <c r="D117" s="954"/>
      <c r="E117" s="955"/>
      <c r="F117" s="447">
        <f>F116*F115</f>
        <v>0</v>
      </c>
      <c r="G117" s="518">
        <f>G116*G115</f>
        <v>0</v>
      </c>
      <c r="H117" s="518">
        <f t="shared" ref="H117:T117" si="37">H116*H115</f>
        <v>0</v>
      </c>
      <c r="I117" s="518">
        <f t="shared" si="37"/>
        <v>0</v>
      </c>
      <c r="J117" s="518">
        <f t="shared" si="37"/>
        <v>0</v>
      </c>
      <c r="K117" s="518">
        <f t="shared" si="37"/>
        <v>0</v>
      </c>
      <c r="L117" s="518">
        <f t="shared" si="37"/>
        <v>0</v>
      </c>
      <c r="M117" s="518">
        <f t="shared" si="37"/>
        <v>0</v>
      </c>
      <c r="N117" s="518">
        <f t="shared" si="37"/>
        <v>0</v>
      </c>
      <c r="O117" s="518">
        <f t="shared" si="37"/>
        <v>0</v>
      </c>
      <c r="P117" s="518">
        <f t="shared" si="37"/>
        <v>0</v>
      </c>
      <c r="Q117" s="518">
        <f t="shared" si="37"/>
        <v>0</v>
      </c>
      <c r="R117" s="518">
        <f t="shared" si="37"/>
        <v>0</v>
      </c>
      <c r="S117" s="518">
        <f t="shared" si="37"/>
        <v>0</v>
      </c>
      <c r="T117" s="518">
        <f t="shared" si="37"/>
        <v>36</v>
      </c>
    </row>
    <row r="118" spans="1:21" ht="102" customHeight="1">
      <c r="A118" s="950"/>
      <c r="B118" s="568">
        <v>39</v>
      </c>
      <c r="C118" s="959" t="s">
        <v>589</v>
      </c>
      <c r="D118" s="960"/>
      <c r="E118" s="419" t="s">
        <v>588</v>
      </c>
      <c r="F118" s="447">
        <v>5</v>
      </c>
      <c r="G118" s="423">
        <v>0</v>
      </c>
      <c r="H118" s="424">
        <v>5</v>
      </c>
      <c r="I118" s="425">
        <v>2</v>
      </c>
      <c r="J118" s="519">
        <v>5</v>
      </c>
      <c r="K118" s="520">
        <v>5</v>
      </c>
      <c r="L118" s="420">
        <v>5</v>
      </c>
      <c r="M118" s="428">
        <v>6</v>
      </c>
      <c r="N118" s="521">
        <v>5</v>
      </c>
      <c r="O118" s="430">
        <v>5</v>
      </c>
      <c r="P118" s="431">
        <v>2</v>
      </c>
      <c r="Q118" s="448">
        <v>10</v>
      </c>
      <c r="R118" s="443">
        <v>2</v>
      </c>
      <c r="S118" s="444">
        <v>2</v>
      </c>
      <c r="T118" s="445">
        <v>2</v>
      </c>
    </row>
    <row r="119" spans="1:21">
      <c r="A119" s="464"/>
      <c r="B119" s="953" t="s">
        <v>509</v>
      </c>
      <c r="C119" s="954"/>
      <c r="D119" s="954"/>
      <c r="E119" s="955"/>
      <c r="F119" s="419">
        <v>16</v>
      </c>
      <c r="G119" s="419"/>
      <c r="H119" s="419">
        <v>16</v>
      </c>
      <c r="I119" s="419">
        <v>16</v>
      </c>
      <c r="J119" s="419">
        <v>16</v>
      </c>
      <c r="K119" s="419">
        <v>16</v>
      </c>
      <c r="L119" s="419">
        <v>16</v>
      </c>
      <c r="M119" s="419">
        <v>16</v>
      </c>
      <c r="N119" s="419">
        <v>16</v>
      </c>
      <c r="O119" s="419">
        <v>16</v>
      </c>
      <c r="P119" s="419">
        <v>16</v>
      </c>
      <c r="Q119" s="419">
        <v>16</v>
      </c>
      <c r="R119" s="419">
        <v>16</v>
      </c>
      <c r="S119" s="419">
        <v>16</v>
      </c>
      <c r="T119" s="419">
        <v>16</v>
      </c>
    </row>
    <row r="120" spans="1:21">
      <c r="A120" s="464"/>
      <c r="B120" s="953" t="s">
        <v>510</v>
      </c>
      <c r="C120" s="954"/>
      <c r="D120" s="954"/>
      <c r="E120" s="955"/>
      <c r="F120" s="447">
        <f>F119*F118</f>
        <v>80</v>
      </c>
      <c r="G120" s="518">
        <f>G119*G118</f>
        <v>0</v>
      </c>
      <c r="H120" s="518">
        <f t="shared" ref="H120:T120" si="38">H119*H118</f>
        <v>80</v>
      </c>
      <c r="I120" s="518">
        <f t="shared" si="38"/>
        <v>32</v>
      </c>
      <c r="J120" s="518">
        <f t="shared" si="38"/>
        <v>80</v>
      </c>
      <c r="K120" s="518">
        <f t="shared" si="38"/>
        <v>80</v>
      </c>
      <c r="L120" s="518">
        <f t="shared" si="38"/>
        <v>80</v>
      </c>
      <c r="M120" s="518">
        <f t="shared" si="38"/>
        <v>96</v>
      </c>
      <c r="N120" s="518">
        <f t="shared" si="38"/>
        <v>80</v>
      </c>
      <c r="O120" s="518">
        <f t="shared" si="38"/>
        <v>80</v>
      </c>
      <c r="P120" s="518">
        <f t="shared" si="38"/>
        <v>32</v>
      </c>
      <c r="Q120" s="518">
        <f t="shared" si="38"/>
        <v>160</v>
      </c>
      <c r="R120" s="518">
        <f t="shared" si="38"/>
        <v>32</v>
      </c>
      <c r="S120" s="518">
        <f t="shared" si="38"/>
        <v>32</v>
      </c>
      <c r="T120" s="518">
        <f t="shared" si="38"/>
        <v>32</v>
      </c>
    </row>
    <row r="121" spans="1:21" s="304" customFormat="1" ht="30" customHeight="1">
      <c r="A121" s="578"/>
      <c r="B121" s="568">
        <v>40</v>
      </c>
      <c r="C121" s="959" t="s">
        <v>659</v>
      </c>
      <c r="D121" s="960"/>
      <c r="E121" s="419" t="s">
        <v>660</v>
      </c>
      <c r="F121" s="587">
        <v>0</v>
      </c>
      <c r="G121" s="423">
        <v>0</v>
      </c>
      <c r="H121" s="588">
        <v>0</v>
      </c>
      <c r="I121" s="589">
        <v>0</v>
      </c>
      <c r="J121" s="590">
        <v>0</v>
      </c>
      <c r="K121" s="591">
        <v>0</v>
      </c>
      <c r="L121" s="592">
        <v>0</v>
      </c>
      <c r="M121" s="593">
        <v>0</v>
      </c>
      <c r="N121" s="594">
        <v>0</v>
      </c>
      <c r="O121" s="595">
        <v>0</v>
      </c>
      <c r="P121" s="596">
        <v>0</v>
      </c>
      <c r="Q121" s="597">
        <v>0</v>
      </c>
      <c r="R121" s="598">
        <v>0</v>
      </c>
      <c r="S121" s="599">
        <v>0</v>
      </c>
      <c r="T121" s="600">
        <v>0</v>
      </c>
      <c r="U121" s="601"/>
    </row>
    <row r="122" spans="1:21" s="304" customFormat="1">
      <c r="A122" s="578"/>
      <c r="B122" s="953" t="s">
        <v>509</v>
      </c>
      <c r="C122" s="954"/>
      <c r="D122" s="954"/>
      <c r="E122" s="955"/>
      <c r="F122" s="419">
        <v>0</v>
      </c>
      <c r="G122" s="419"/>
      <c r="H122" s="419">
        <v>0</v>
      </c>
      <c r="I122" s="419">
        <v>0</v>
      </c>
      <c r="J122" s="419">
        <v>0</v>
      </c>
      <c r="K122" s="419">
        <v>0</v>
      </c>
      <c r="L122" s="419">
        <v>0</v>
      </c>
      <c r="M122" s="419">
        <v>0</v>
      </c>
      <c r="N122" s="419">
        <v>0</v>
      </c>
      <c r="O122" s="419">
        <v>0</v>
      </c>
      <c r="P122" s="419">
        <v>0</v>
      </c>
      <c r="Q122" s="419">
        <v>0</v>
      </c>
      <c r="R122" s="419">
        <v>0</v>
      </c>
      <c r="S122" s="419">
        <v>0</v>
      </c>
      <c r="T122" s="419">
        <v>0</v>
      </c>
    </row>
    <row r="123" spans="1:21" s="304" customFormat="1">
      <c r="A123" s="578"/>
      <c r="B123" s="953" t="s">
        <v>510</v>
      </c>
      <c r="C123" s="954"/>
      <c r="D123" s="954"/>
      <c r="E123" s="955"/>
      <c r="F123" s="447">
        <f>F122*F121</f>
        <v>0</v>
      </c>
      <c r="G123" s="518">
        <f>G122*G121</f>
        <v>0</v>
      </c>
      <c r="H123" s="518">
        <f t="shared" ref="H123:T123" si="39">H122*H121</f>
        <v>0</v>
      </c>
      <c r="I123" s="518">
        <f t="shared" si="39"/>
        <v>0</v>
      </c>
      <c r="J123" s="518">
        <f t="shared" si="39"/>
        <v>0</v>
      </c>
      <c r="K123" s="518">
        <f t="shared" si="39"/>
        <v>0</v>
      </c>
      <c r="L123" s="518">
        <f t="shared" si="39"/>
        <v>0</v>
      </c>
      <c r="M123" s="518">
        <f t="shared" si="39"/>
        <v>0</v>
      </c>
      <c r="N123" s="518">
        <f t="shared" si="39"/>
        <v>0</v>
      </c>
      <c r="O123" s="518">
        <f t="shared" si="39"/>
        <v>0</v>
      </c>
      <c r="P123" s="518">
        <f t="shared" si="39"/>
        <v>0</v>
      </c>
      <c r="Q123" s="518">
        <f t="shared" si="39"/>
        <v>0</v>
      </c>
      <c r="R123" s="518">
        <f t="shared" si="39"/>
        <v>0</v>
      </c>
      <c r="S123" s="518">
        <f t="shared" si="39"/>
        <v>0</v>
      </c>
      <c r="T123" s="518">
        <f t="shared" si="39"/>
        <v>0</v>
      </c>
    </row>
    <row r="124" spans="1:21" ht="86.25" customHeight="1">
      <c r="A124" s="949"/>
      <c r="B124" s="568">
        <v>41</v>
      </c>
      <c r="C124" s="959" t="s">
        <v>587</v>
      </c>
      <c r="D124" s="960"/>
      <c r="E124" s="419" t="s">
        <v>584</v>
      </c>
      <c r="F124" s="436">
        <v>0</v>
      </c>
      <c r="G124" s="423">
        <v>0</v>
      </c>
      <c r="H124" s="440">
        <v>0</v>
      </c>
      <c r="I124" s="437">
        <v>0</v>
      </c>
      <c r="J124" s="426">
        <v>0</v>
      </c>
      <c r="K124" s="427">
        <v>0</v>
      </c>
      <c r="L124" s="421">
        <v>0</v>
      </c>
      <c r="M124" s="438">
        <v>0</v>
      </c>
      <c r="N124" s="429">
        <v>0</v>
      </c>
      <c r="O124" s="441">
        <v>0</v>
      </c>
      <c r="P124" s="439">
        <v>0</v>
      </c>
      <c r="Q124" s="432">
        <v>0</v>
      </c>
      <c r="R124" s="433">
        <v>0</v>
      </c>
      <c r="S124" s="434">
        <v>0</v>
      </c>
      <c r="T124" s="435">
        <v>0</v>
      </c>
    </row>
    <row r="125" spans="1:21">
      <c r="A125" s="949"/>
      <c r="B125" s="953" t="s">
        <v>509</v>
      </c>
      <c r="C125" s="954"/>
      <c r="D125" s="954"/>
      <c r="E125" s="955"/>
      <c r="F125" s="419"/>
      <c r="G125" s="419"/>
      <c r="H125" s="419"/>
      <c r="I125" s="419"/>
      <c r="J125" s="419"/>
      <c r="K125" s="419"/>
      <c r="L125" s="419"/>
      <c r="M125" s="419"/>
      <c r="N125" s="419"/>
      <c r="O125" s="419"/>
      <c r="P125" s="419"/>
      <c r="Q125" s="419"/>
      <c r="R125" s="419"/>
      <c r="S125" s="419"/>
      <c r="T125" s="419"/>
    </row>
    <row r="126" spans="1:21">
      <c r="A126" s="949"/>
      <c r="B126" s="953" t="s">
        <v>510</v>
      </c>
      <c r="C126" s="954"/>
      <c r="D126" s="954"/>
      <c r="E126" s="955"/>
      <c r="F126" s="447">
        <f>F125*F124</f>
        <v>0</v>
      </c>
      <c r="G126" s="518">
        <f>G125*G124</f>
        <v>0</v>
      </c>
      <c r="H126" s="518">
        <f t="shared" ref="H126:T126" si="40">H125*H124</f>
        <v>0</v>
      </c>
      <c r="I126" s="518">
        <f t="shared" si="40"/>
        <v>0</v>
      </c>
      <c r="J126" s="518">
        <f t="shared" si="40"/>
        <v>0</v>
      </c>
      <c r="K126" s="518">
        <f t="shared" si="40"/>
        <v>0</v>
      </c>
      <c r="L126" s="518">
        <f t="shared" si="40"/>
        <v>0</v>
      </c>
      <c r="M126" s="518">
        <f t="shared" si="40"/>
        <v>0</v>
      </c>
      <c r="N126" s="518">
        <f t="shared" si="40"/>
        <v>0</v>
      </c>
      <c r="O126" s="518">
        <f t="shared" si="40"/>
        <v>0</v>
      </c>
      <c r="P126" s="518">
        <f t="shared" si="40"/>
        <v>0</v>
      </c>
      <c r="Q126" s="518">
        <f t="shared" si="40"/>
        <v>0</v>
      </c>
      <c r="R126" s="518">
        <f t="shared" si="40"/>
        <v>0</v>
      </c>
      <c r="S126" s="518">
        <f t="shared" si="40"/>
        <v>0</v>
      </c>
      <c r="T126" s="518">
        <f t="shared" si="40"/>
        <v>0</v>
      </c>
    </row>
    <row r="127" spans="1:21" ht="64.5" customHeight="1">
      <c r="A127" s="949"/>
      <c r="B127" s="568">
        <v>42</v>
      </c>
      <c r="C127" s="959" t="s">
        <v>586</v>
      </c>
      <c r="D127" s="960"/>
      <c r="E127" s="419" t="s">
        <v>584</v>
      </c>
      <c r="F127" s="446">
        <v>4</v>
      </c>
      <c r="G127" s="423">
        <v>0</v>
      </c>
      <c r="H127" s="424">
        <v>5</v>
      </c>
      <c r="I127" s="437">
        <v>0</v>
      </c>
      <c r="J127" s="426">
        <v>0</v>
      </c>
      <c r="K127" s="427">
        <v>0</v>
      </c>
      <c r="L127" s="421">
        <v>0</v>
      </c>
      <c r="M127" s="438">
        <v>0</v>
      </c>
      <c r="N127" s="429">
        <v>0</v>
      </c>
      <c r="O127" s="441">
        <v>0</v>
      </c>
      <c r="P127" s="439">
        <v>0</v>
      </c>
      <c r="Q127" s="432">
        <v>0</v>
      </c>
      <c r="R127" s="433">
        <v>0</v>
      </c>
      <c r="S127" s="434">
        <v>0</v>
      </c>
      <c r="T127" s="435">
        <v>0</v>
      </c>
    </row>
    <row r="128" spans="1:21">
      <c r="A128" s="464"/>
      <c r="B128" s="953" t="s">
        <v>509</v>
      </c>
      <c r="C128" s="954"/>
      <c r="D128" s="954"/>
      <c r="E128" s="955"/>
      <c r="F128" s="419">
        <v>18</v>
      </c>
      <c r="G128" s="419"/>
      <c r="H128" s="419">
        <v>18</v>
      </c>
      <c r="I128" s="419"/>
      <c r="J128" s="419"/>
      <c r="K128" s="419"/>
      <c r="L128" s="419"/>
      <c r="M128" s="419"/>
      <c r="N128" s="419"/>
      <c r="O128" s="419"/>
      <c r="P128" s="419"/>
      <c r="Q128" s="419"/>
      <c r="R128" s="419"/>
      <c r="S128" s="419"/>
      <c r="T128" s="419"/>
    </row>
    <row r="129" spans="1:20">
      <c r="A129" s="464"/>
      <c r="B129" s="953" t="s">
        <v>510</v>
      </c>
      <c r="C129" s="954"/>
      <c r="D129" s="954"/>
      <c r="E129" s="955"/>
      <c r="F129" s="447">
        <f>F128*F127</f>
        <v>72</v>
      </c>
      <c r="G129" s="518">
        <f>G128*G127</f>
        <v>0</v>
      </c>
      <c r="H129" s="518">
        <f t="shared" ref="H129:T129" si="41">H128*H127</f>
        <v>90</v>
      </c>
      <c r="I129" s="518">
        <f t="shared" si="41"/>
        <v>0</v>
      </c>
      <c r="J129" s="518">
        <f t="shared" si="41"/>
        <v>0</v>
      </c>
      <c r="K129" s="518">
        <f t="shared" si="41"/>
        <v>0</v>
      </c>
      <c r="L129" s="518">
        <f t="shared" si="41"/>
        <v>0</v>
      </c>
      <c r="M129" s="518">
        <f t="shared" si="41"/>
        <v>0</v>
      </c>
      <c r="N129" s="518">
        <f t="shared" si="41"/>
        <v>0</v>
      </c>
      <c r="O129" s="518">
        <f t="shared" si="41"/>
        <v>0</v>
      </c>
      <c r="P129" s="518">
        <f t="shared" si="41"/>
        <v>0</v>
      </c>
      <c r="Q129" s="518">
        <f t="shared" si="41"/>
        <v>0</v>
      </c>
      <c r="R129" s="518">
        <f t="shared" si="41"/>
        <v>0</v>
      </c>
      <c r="S129" s="518">
        <f t="shared" si="41"/>
        <v>0</v>
      </c>
      <c r="T129" s="518">
        <f t="shared" si="41"/>
        <v>0</v>
      </c>
    </row>
    <row r="130" spans="1:20" s="304" customFormat="1" ht="43.5" customHeight="1">
      <c r="A130" s="578"/>
      <c r="B130" s="568">
        <v>43</v>
      </c>
      <c r="C130" s="959" t="s">
        <v>661</v>
      </c>
      <c r="D130" s="960"/>
      <c r="E130" s="419" t="s">
        <v>660</v>
      </c>
      <c r="F130" s="587">
        <v>0</v>
      </c>
      <c r="G130" s="423">
        <v>0</v>
      </c>
      <c r="H130" s="588">
        <v>0</v>
      </c>
      <c r="I130" s="437">
        <v>0</v>
      </c>
      <c r="J130" s="426">
        <v>0</v>
      </c>
      <c r="K130" s="427">
        <v>0</v>
      </c>
      <c r="L130" s="421">
        <v>0</v>
      </c>
      <c r="M130" s="438">
        <v>0</v>
      </c>
      <c r="N130" s="429">
        <v>0</v>
      </c>
      <c r="O130" s="441">
        <v>0</v>
      </c>
      <c r="P130" s="439">
        <v>0</v>
      </c>
      <c r="Q130" s="432">
        <v>0</v>
      </c>
      <c r="R130" s="433">
        <v>0</v>
      </c>
      <c r="S130" s="434">
        <v>0</v>
      </c>
      <c r="T130" s="435">
        <v>0</v>
      </c>
    </row>
    <row r="131" spans="1:20" s="304" customFormat="1">
      <c r="A131" s="578"/>
      <c r="B131" s="953" t="s">
        <v>509</v>
      </c>
      <c r="C131" s="954"/>
      <c r="D131" s="954"/>
      <c r="E131" s="955"/>
      <c r="F131" s="419"/>
      <c r="G131" s="419"/>
      <c r="H131" s="419"/>
      <c r="I131" s="419"/>
      <c r="J131" s="419"/>
      <c r="K131" s="419"/>
      <c r="L131" s="419"/>
      <c r="M131" s="419"/>
      <c r="N131" s="419"/>
      <c r="O131" s="419"/>
      <c r="P131" s="419"/>
      <c r="Q131" s="419"/>
      <c r="R131" s="419"/>
      <c r="S131" s="419"/>
      <c r="T131" s="419"/>
    </row>
    <row r="132" spans="1:20" s="304" customFormat="1">
      <c r="A132" s="578"/>
      <c r="B132" s="953" t="s">
        <v>510</v>
      </c>
      <c r="C132" s="954"/>
      <c r="D132" s="954"/>
      <c r="E132" s="955"/>
      <c r="F132" s="447">
        <f>F131*F130</f>
        <v>0</v>
      </c>
      <c r="G132" s="518">
        <f>G131*G130</f>
        <v>0</v>
      </c>
      <c r="H132" s="518">
        <f t="shared" ref="H132:T132" si="42">H131*H130</f>
        <v>0</v>
      </c>
      <c r="I132" s="518">
        <f t="shared" si="42"/>
        <v>0</v>
      </c>
      <c r="J132" s="518">
        <f t="shared" si="42"/>
        <v>0</v>
      </c>
      <c r="K132" s="518">
        <f t="shared" si="42"/>
        <v>0</v>
      </c>
      <c r="L132" s="518">
        <f t="shared" si="42"/>
        <v>0</v>
      </c>
      <c r="M132" s="518">
        <f t="shared" si="42"/>
        <v>0</v>
      </c>
      <c r="N132" s="518">
        <f t="shared" si="42"/>
        <v>0</v>
      </c>
      <c r="O132" s="518">
        <f t="shared" si="42"/>
        <v>0</v>
      </c>
      <c r="P132" s="518">
        <f t="shared" si="42"/>
        <v>0</v>
      </c>
      <c r="Q132" s="518">
        <f t="shared" si="42"/>
        <v>0</v>
      </c>
      <c r="R132" s="518">
        <f t="shared" si="42"/>
        <v>0</v>
      </c>
      <c r="S132" s="518">
        <f t="shared" si="42"/>
        <v>0</v>
      </c>
      <c r="T132" s="518">
        <f t="shared" si="42"/>
        <v>0</v>
      </c>
    </row>
    <row r="133" spans="1:20" ht="202.5" customHeight="1">
      <c r="A133" s="948" t="s">
        <v>636</v>
      </c>
      <c r="B133" s="568">
        <v>44</v>
      </c>
      <c r="C133" s="959" t="s">
        <v>637</v>
      </c>
      <c r="D133" s="960"/>
      <c r="E133" s="419" t="s">
        <v>606</v>
      </c>
      <c r="F133" s="446">
        <v>3</v>
      </c>
      <c r="G133" s="518">
        <v>5</v>
      </c>
      <c r="H133" s="424">
        <v>10</v>
      </c>
      <c r="I133" s="425">
        <v>8</v>
      </c>
      <c r="J133" s="519">
        <v>5</v>
      </c>
      <c r="K133" s="520">
        <v>5</v>
      </c>
      <c r="L133" s="420">
        <v>500</v>
      </c>
      <c r="M133" s="428">
        <v>250</v>
      </c>
      <c r="N133" s="521">
        <v>3</v>
      </c>
      <c r="O133" s="430">
        <v>10</v>
      </c>
      <c r="P133" s="431">
        <v>25</v>
      </c>
      <c r="Q133" s="448">
        <v>25</v>
      </c>
      <c r="R133" s="443">
        <v>25</v>
      </c>
      <c r="S133" s="444">
        <v>25</v>
      </c>
      <c r="T133" s="445">
        <v>8</v>
      </c>
    </row>
    <row r="134" spans="1:20">
      <c r="A134" s="949"/>
      <c r="B134" s="953" t="s">
        <v>509</v>
      </c>
      <c r="C134" s="954"/>
      <c r="D134" s="954"/>
      <c r="E134" s="955"/>
      <c r="F134" s="419">
        <v>20</v>
      </c>
      <c r="G134" s="419">
        <v>20</v>
      </c>
      <c r="H134" s="419">
        <v>20</v>
      </c>
      <c r="I134" s="419">
        <v>20</v>
      </c>
      <c r="J134" s="419">
        <v>20</v>
      </c>
      <c r="K134" s="419">
        <v>20</v>
      </c>
      <c r="L134" s="419">
        <v>20</v>
      </c>
      <c r="M134" s="419">
        <v>20</v>
      </c>
      <c r="N134" s="419">
        <v>20</v>
      </c>
      <c r="O134" s="419">
        <v>20</v>
      </c>
      <c r="P134" s="419">
        <v>20</v>
      </c>
      <c r="Q134" s="419">
        <v>20</v>
      </c>
      <c r="R134" s="419">
        <v>20</v>
      </c>
      <c r="S134" s="419">
        <v>20</v>
      </c>
      <c r="T134" s="419">
        <v>20</v>
      </c>
    </row>
    <row r="135" spans="1:20">
      <c r="A135" s="949"/>
      <c r="B135" s="953" t="s">
        <v>510</v>
      </c>
      <c r="C135" s="954"/>
      <c r="D135" s="954"/>
      <c r="E135" s="955"/>
      <c r="F135" s="447">
        <f>F134*F133</f>
        <v>60</v>
      </c>
      <c r="G135" s="518">
        <f>G134*G133</f>
        <v>100</v>
      </c>
      <c r="H135" s="518">
        <f t="shared" ref="H135:T135" si="43">H134*H133</f>
        <v>200</v>
      </c>
      <c r="I135" s="518">
        <f t="shared" si="43"/>
        <v>160</v>
      </c>
      <c r="J135" s="518">
        <f t="shared" si="43"/>
        <v>100</v>
      </c>
      <c r="K135" s="518">
        <f t="shared" si="43"/>
        <v>100</v>
      </c>
      <c r="L135" s="518">
        <f t="shared" si="43"/>
        <v>10000</v>
      </c>
      <c r="M135" s="518">
        <f t="shared" si="43"/>
        <v>5000</v>
      </c>
      <c r="N135" s="518">
        <f t="shared" si="43"/>
        <v>60</v>
      </c>
      <c r="O135" s="518">
        <f t="shared" si="43"/>
        <v>200</v>
      </c>
      <c r="P135" s="518">
        <f t="shared" si="43"/>
        <v>500</v>
      </c>
      <c r="Q135" s="518">
        <f t="shared" si="43"/>
        <v>500</v>
      </c>
      <c r="R135" s="518">
        <f t="shared" si="43"/>
        <v>500</v>
      </c>
      <c r="S135" s="518">
        <f t="shared" si="43"/>
        <v>500</v>
      </c>
      <c r="T135" s="518">
        <f t="shared" si="43"/>
        <v>160</v>
      </c>
    </row>
    <row r="136" spans="1:20" ht="206.25" customHeight="1">
      <c r="A136" s="949"/>
      <c r="B136" s="568">
        <v>45</v>
      </c>
      <c r="C136" s="959" t="s">
        <v>638</v>
      </c>
      <c r="D136" s="960"/>
      <c r="E136" s="419" t="s">
        <v>606</v>
      </c>
      <c r="F136" s="446">
        <v>3</v>
      </c>
      <c r="G136" s="518">
        <v>3</v>
      </c>
      <c r="H136" s="424">
        <v>5</v>
      </c>
      <c r="I136" s="425">
        <v>2</v>
      </c>
      <c r="J136" s="519">
        <v>3</v>
      </c>
      <c r="K136" s="520">
        <v>3</v>
      </c>
      <c r="L136" s="420">
        <v>30</v>
      </c>
      <c r="M136" s="428">
        <v>50</v>
      </c>
      <c r="N136" s="521">
        <v>2</v>
      </c>
      <c r="O136" s="430">
        <v>5</v>
      </c>
      <c r="P136" s="431">
        <v>2</v>
      </c>
      <c r="Q136" s="448">
        <v>2</v>
      </c>
      <c r="R136" s="443">
        <v>2</v>
      </c>
      <c r="S136" s="444">
        <v>2</v>
      </c>
      <c r="T136" s="445">
        <v>5</v>
      </c>
    </row>
    <row r="137" spans="1:20">
      <c r="A137" s="949"/>
      <c r="B137" s="953" t="s">
        <v>509</v>
      </c>
      <c r="C137" s="954"/>
      <c r="D137" s="954"/>
      <c r="E137" s="955"/>
      <c r="F137" s="419">
        <v>12</v>
      </c>
      <c r="G137" s="419">
        <v>12</v>
      </c>
      <c r="H137" s="419">
        <v>12</v>
      </c>
      <c r="I137" s="419">
        <v>12</v>
      </c>
      <c r="J137" s="419">
        <v>12</v>
      </c>
      <c r="K137" s="419">
        <v>12</v>
      </c>
      <c r="L137" s="419">
        <v>12</v>
      </c>
      <c r="M137" s="419">
        <v>12</v>
      </c>
      <c r="N137" s="419">
        <v>12</v>
      </c>
      <c r="O137" s="419">
        <v>12</v>
      </c>
      <c r="P137" s="419">
        <v>12</v>
      </c>
      <c r="Q137" s="419">
        <v>12</v>
      </c>
      <c r="R137" s="419">
        <v>12</v>
      </c>
      <c r="S137" s="419">
        <v>12</v>
      </c>
      <c r="T137" s="419">
        <v>12</v>
      </c>
    </row>
    <row r="138" spans="1:20">
      <c r="A138" s="949"/>
      <c r="B138" s="953" t="s">
        <v>510</v>
      </c>
      <c r="C138" s="954"/>
      <c r="D138" s="954"/>
      <c r="E138" s="955"/>
      <c r="F138" s="447">
        <f>F137*F136</f>
        <v>36</v>
      </c>
      <c r="G138" s="518">
        <f>G137*G136</f>
        <v>36</v>
      </c>
      <c r="H138" s="518">
        <f t="shared" ref="H138:T138" si="44">H137*H136</f>
        <v>60</v>
      </c>
      <c r="I138" s="518">
        <f t="shared" si="44"/>
        <v>24</v>
      </c>
      <c r="J138" s="518">
        <f t="shared" si="44"/>
        <v>36</v>
      </c>
      <c r="K138" s="518">
        <f t="shared" si="44"/>
        <v>36</v>
      </c>
      <c r="L138" s="518">
        <f t="shared" si="44"/>
        <v>360</v>
      </c>
      <c r="M138" s="518">
        <f t="shared" si="44"/>
        <v>600</v>
      </c>
      <c r="N138" s="518">
        <f t="shared" si="44"/>
        <v>24</v>
      </c>
      <c r="O138" s="518">
        <f t="shared" si="44"/>
        <v>60</v>
      </c>
      <c r="P138" s="518">
        <f t="shared" si="44"/>
        <v>24</v>
      </c>
      <c r="Q138" s="518">
        <f t="shared" si="44"/>
        <v>24</v>
      </c>
      <c r="R138" s="518">
        <f t="shared" si="44"/>
        <v>24</v>
      </c>
      <c r="S138" s="518">
        <f t="shared" si="44"/>
        <v>24</v>
      </c>
      <c r="T138" s="518">
        <f t="shared" si="44"/>
        <v>60</v>
      </c>
    </row>
    <row r="139" spans="1:20" ht="108.75" customHeight="1">
      <c r="A139" s="949"/>
      <c r="B139" s="568">
        <v>46</v>
      </c>
      <c r="C139" s="959" t="s">
        <v>604</v>
      </c>
      <c r="D139" s="960"/>
      <c r="E139" s="419" t="s">
        <v>639</v>
      </c>
      <c r="F139" s="446">
        <v>5</v>
      </c>
      <c r="G139" s="442">
        <v>3</v>
      </c>
      <c r="H139" s="424">
        <v>8</v>
      </c>
      <c r="I139" s="425">
        <v>6</v>
      </c>
      <c r="J139" s="519">
        <v>6</v>
      </c>
      <c r="K139" s="520">
        <v>6</v>
      </c>
      <c r="L139" s="420">
        <v>12</v>
      </c>
      <c r="M139" s="428">
        <v>8</v>
      </c>
      <c r="N139" s="521">
        <v>6</v>
      </c>
      <c r="O139" s="430">
        <v>3</v>
      </c>
      <c r="P139" s="431">
        <v>3</v>
      </c>
      <c r="Q139" s="448">
        <v>3</v>
      </c>
      <c r="R139" s="443">
        <v>2</v>
      </c>
      <c r="S139" s="444">
        <v>2</v>
      </c>
      <c r="T139" s="445">
        <v>6</v>
      </c>
    </row>
    <row r="140" spans="1:20">
      <c r="A140" s="949"/>
      <c r="B140" s="953" t="s">
        <v>509</v>
      </c>
      <c r="C140" s="954"/>
      <c r="D140" s="954"/>
      <c r="E140" s="955"/>
      <c r="F140" s="419">
        <v>28</v>
      </c>
      <c r="G140" s="419">
        <v>28</v>
      </c>
      <c r="H140" s="419">
        <v>28</v>
      </c>
      <c r="I140" s="419">
        <v>28</v>
      </c>
      <c r="J140" s="419">
        <v>28</v>
      </c>
      <c r="K140" s="419">
        <v>28</v>
      </c>
      <c r="L140" s="419">
        <v>28</v>
      </c>
      <c r="M140" s="419">
        <v>28</v>
      </c>
      <c r="N140" s="419">
        <v>28</v>
      </c>
      <c r="O140" s="419">
        <v>28</v>
      </c>
      <c r="P140" s="419">
        <v>28</v>
      </c>
      <c r="Q140" s="419">
        <v>28</v>
      </c>
      <c r="R140" s="419">
        <v>28</v>
      </c>
      <c r="S140" s="419">
        <v>28</v>
      </c>
      <c r="T140" s="419">
        <v>28</v>
      </c>
    </row>
    <row r="141" spans="1:20">
      <c r="A141" s="949"/>
      <c r="B141" s="953" t="s">
        <v>510</v>
      </c>
      <c r="C141" s="954"/>
      <c r="D141" s="954"/>
      <c r="E141" s="955"/>
      <c r="F141" s="447">
        <f>F140*F139</f>
        <v>140</v>
      </c>
      <c r="G141" s="518">
        <f>G140*G139</f>
        <v>84</v>
      </c>
      <c r="H141" s="518">
        <f t="shared" ref="H141:T141" si="45">H140*H139</f>
        <v>224</v>
      </c>
      <c r="I141" s="518">
        <f t="shared" si="45"/>
        <v>168</v>
      </c>
      <c r="J141" s="518">
        <f t="shared" si="45"/>
        <v>168</v>
      </c>
      <c r="K141" s="518">
        <f t="shared" si="45"/>
        <v>168</v>
      </c>
      <c r="L141" s="518">
        <f t="shared" si="45"/>
        <v>336</v>
      </c>
      <c r="M141" s="518">
        <f t="shared" si="45"/>
        <v>224</v>
      </c>
      <c r="N141" s="518">
        <f t="shared" si="45"/>
        <v>168</v>
      </c>
      <c r="O141" s="518">
        <f t="shared" si="45"/>
        <v>84</v>
      </c>
      <c r="P141" s="518">
        <f t="shared" si="45"/>
        <v>84</v>
      </c>
      <c r="Q141" s="518">
        <f t="shared" si="45"/>
        <v>84</v>
      </c>
      <c r="R141" s="518">
        <f t="shared" si="45"/>
        <v>56</v>
      </c>
      <c r="S141" s="518">
        <f t="shared" si="45"/>
        <v>56</v>
      </c>
      <c r="T141" s="518">
        <f t="shared" si="45"/>
        <v>168</v>
      </c>
    </row>
    <row r="142" spans="1:20" ht="108.75" customHeight="1">
      <c r="A142" s="950"/>
      <c r="B142" s="568">
        <v>47</v>
      </c>
      <c r="C142" s="961" t="s">
        <v>603</v>
      </c>
      <c r="D142" s="962"/>
      <c r="E142" s="527" t="s">
        <v>640</v>
      </c>
      <c r="F142" s="447">
        <v>5</v>
      </c>
      <c r="G142" s="442">
        <v>5</v>
      </c>
      <c r="H142" s="424">
        <v>9</v>
      </c>
      <c r="I142" s="425">
        <v>4</v>
      </c>
      <c r="J142" s="519">
        <v>2</v>
      </c>
      <c r="K142" s="520">
        <v>2</v>
      </c>
      <c r="L142" s="420">
        <v>10</v>
      </c>
      <c r="M142" s="428">
        <v>9</v>
      </c>
      <c r="N142" s="521">
        <v>2</v>
      </c>
      <c r="O142" s="430">
        <v>2</v>
      </c>
      <c r="P142" s="431">
        <v>2</v>
      </c>
      <c r="Q142" s="448">
        <v>1</v>
      </c>
      <c r="R142" s="443">
        <v>2</v>
      </c>
      <c r="S142" s="444">
        <v>2</v>
      </c>
      <c r="T142" s="445">
        <v>10</v>
      </c>
    </row>
    <row r="143" spans="1:20">
      <c r="A143" s="464"/>
      <c r="B143" s="953" t="s">
        <v>509</v>
      </c>
      <c r="C143" s="954"/>
      <c r="D143" s="954"/>
      <c r="E143" s="955"/>
      <c r="F143" s="527">
        <v>35</v>
      </c>
      <c r="G143" s="527">
        <v>35</v>
      </c>
      <c r="H143" s="527">
        <v>35</v>
      </c>
      <c r="I143" s="527">
        <v>35</v>
      </c>
      <c r="J143" s="527">
        <v>35</v>
      </c>
      <c r="K143" s="527">
        <v>35</v>
      </c>
      <c r="L143" s="527">
        <v>35</v>
      </c>
      <c r="M143" s="527">
        <v>35</v>
      </c>
      <c r="N143" s="527">
        <v>35</v>
      </c>
      <c r="O143" s="527">
        <v>35</v>
      </c>
      <c r="P143" s="527">
        <v>35</v>
      </c>
      <c r="Q143" s="527">
        <v>35</v>
      </c>
      <c r="R143" s="527">
        <v>35</v>
      </c>
      <c r="S143" s="527">
        <v>35</v>
      </c>
      <c r="T143" s="527">
        <v>35</v>
      </c>
    </row>
    <row r="144" spans="1:20">
      <c r="A144" s="464"/>
      <c r="B144" s="953" t="s">
        <v>510</v>
      </c>
      <c r="C144" s="954"/>
      <c r="D144" s="954"/>
      <c r="E144" s="955"/>
      <c r="F144" s="447">
        <f>F143*F142</f>
        <v>175</v>
      </c>
      <c r="G144" s="518">
        <f>G143*G142</f>
        <v>175</v>
      </c>
      <c r="H144" s="518">
        <f t="shared" ref="H144:T144" si="46">H143*H142</f>
        <v>315</v>
      </c>
      <c r="I144" s="518">
        <f t="shared" si="46"/>
        <v>140</v>
      </c>
      <c r="J144" s="518">
        <f t="shared" si="46"/>
        <v>70</v>
      </c>
      <c r="K144" s="518">
        <f t="shared" si="46"/>
        <v>70</v>
      </c>
      <c r="L144" s="518">
        <f t="shared" si="46"/>
        <v>350</v>
      </c>
      <c r="M144" s="518">
        <f t="shared" si="46"/>
        <v>315</v>
      </c>
      <c r="N144" s="518">
        <f t="shared" si="46"/>
        <v>70</v>
      </c>
      <c r="O144" s="518">
        <f t="shared" si="46"/>
        <v>70</v>
      </c>
      <c r="P144" s="518">
        <f t="shared" si="46"/>
        <v>70</v>
      </c>
      <c r="Q144" s="518">
        <f t="shared" si="46"/>
        <v>35</v>
      </c>
      <c r="R144" s="518">
        <f t="shared" si="46"/>
        <v>70</v>
      </c>
      <c r="S144" s="518">
        <f t="shared" si="46"/>
        <v>70</v>
      </c>
      <c r="T144" s="518">
        <f t="shared" si="46"/>
        <v>350</v>
      </c>
    </row>
    <row r="145" spans="1:20" ht="67.5" customHeight="1">
      <c r="A145" s="948" t="s">
        <v>641</v>
      </c>
      <c r="B145" s="568">
        <v>48</v>
      </c>
      <c r="C145" s="959" t="s">
        <v>578</v>
      </c>
      <c r="D145" s="960"/>
      <c r="E145" s="419" t="s">
        <v>400</v>
      </c>
      <c r="F145" s="447">
        <v>12</v>
      </c>
      <c r="G145" s="423">
        <v>0</v>
      </c>
      <c r="H145" s="424">
        <v>60</v>
      </c>
      <c r="I145" s="437">
        <v>0</v>
      </c>
      <c r="J145" s="426">
        <v>0</v>
      </c>
      <c r="K145" s="427">
        <v>0</v>
      </c>
      <c r="L145" s="421">
        <v>0</v>
      </c>
      <c r="M145" s="428">
        <v>30</v>
      </c>
      <c r="N145" s="429">
        <v>0</v>
      </c>
      <c r="O145" s="441">
        <v>0</v>
      </c>
      <c r="P145" s="431">
        <v>25</v>
      </c>
      <c r="Q145" s="432">
        <v>0</v>
      </c>
      <c r="R145" s="443">
        <v>20</v>
      </c>
      <c r="S145" s="444">
        <v>20</v>
      </c>
      <c r="T145" s="445">
        <v>10</v>
      </c>
    </row>
    <row r="146" spans="1:20">
      <c r="A146" s="949"/>
      <c r="B146" s="953" t="s">
        <v>509</v>
      </c>
      <c r="C146" s="954"/>
      <c r="D146" s="954"/>
      <c r="E146" s="955"/>
      <c r="F146" s="419">
        <v>18</v>
      </c>
      <c r="G146" s="419"/>
      <c r="H146" s="419">
        <v>18</v>
      </c>
      <c r="I146" s="419"/>
      <c r="J146" s="419"/>
      <c r="K146" s="419"/>
      <c r="L146" s="419"/>
      <c r="M146" s="419">
        <v>18</v>
      </c>
      <c r="N146" s="419"/>
      <c r="O146" s="419"/>
      <c r="P146" s="419">
        <v>18</v>
      </c>
      <c r="Q146" s="419"/>
      <c r="R146" s="419">
        <v>18</v>
      </c>
      <c r="S146" s="419">
        <v>18</v>
      </c>
      <c r="T146" s="419">
        <v>18</v>
      </c>
    </row>
    <row r="147" spans="1:20">
      <c r="A147" s="949"/>
      <c r="B147" s="953" t="s">
        <v>510</v>
      </c>
      <c r="C147" s="954"/>
      <c r="D147" s="954"/>
      <c r="E147" s="955"/>
      <c r="F147" s="447">
        <f>F146*F145</f>
        <v>216</v>
      </c>
      <c r="G147" s="518">
        <f>G146*G145</f>
        <v>0</v>
      </c>
      <c r="H147" s="518">
        <f t="shared" ref="H147:T147" si="47">H146*H145</f>
        <v>1080</v>
      </c>
      <c r="I147" s="518">
        <f t="shared" si="47"/>
        <v>0</v>
      </c>
      <c r="J147" s="518">
        <f t="shared" si="47"/>
        <v>0</v>
      </c>
      <c r="K147" s="518">
        <f t="shared" si="47"/>
        <v>0</v>
      </c>
      <c r="L147" s="518">
        <f t="shared" si="47"/>
        <v>0</v>
      </c>
      <c r="M147" s="518">
        <f t="shared" si="47"/>
        <v>540</v>
      </c>
      <c r="N147" s="518">
        <f t="shared" si="47"/>
        <v>0</v>
      </c>
      <c r="O147" s="518">
        <f t="shared" si="47"/>
        <v>0</v>
      </c>
      <c r="P147" s="518">
        <f t="shared" si="47"/>
        <v>450</v>
      </c>
      <c r="Q147" s="518">
        <f t="shared" si="47"/>
        <v>0</v>
      </c>
      <c r="R147" s="518">
        <f t="shared" si="47"/>
        <v>360</v>
      </c>
      <c r="S147" s="518">
        <f t="shared" si="47"/>
        <v>360</v>
      </c>
      <c r="T147" s="518">
        <f t="shared" si="47"/>
        <v>180</v>
      </c>
    </row>
    <row r="148" spans="1:20" ht="63.75" customHeight="1">
      <c r="A148" s="949"/>
      <c r="B148" s="568">
        <v>49</v>
      </c>
      <c r="C148" s="959" t="s">
        <v>577</v>
      </c>
      <c r="D148" s="960"/>
      <c r="E148" s="419" t="s">
        <v>400</v>
      </c>
      <c r="F148" s="447">
        <v>12</v>
      </c>
      <c r="G148" s="423">
        <v>0</v>
      </c>
      <c r="H148" s="424">
        <v>60</v>
      </c>
      <c r="I148" s="437">
        <v>0</v>
      </c>
      <c r="J148" s="426">
        <v>0</v>
      </c>
      <c r="K148" s="427">
        <v>0</v>
      </c>
      <c r="L148" s="421">
        <v>0</v>
      </c>
      <c r="M148" s="428">
        <v>30</v>
      </c>
      <c r="N148" s="429">
        <v>0</v>
      </c>
      <c r="O148" s="441">
        <v>0</v>
      </c>
      <c r="P148" s="431">
        <v>25</v>
      </c>
      <c r="Q148" s="432">
        <v>0</v>
      </c>
      <c r="R148" s="443">
        <v>20</v>
      </c>
      <c r="S148" s="444">
        <v>20</v>
      </c>
      <c r="T148" s="435">
        <v>0</v>
      </c>
    </row>
    <row r="149" spans="1:20">
      <c r="A149" s="949"/>
      <c r="B149" s="953" t="s">
        <v>509</v>
      </c>
      <c r="C149" s="954"/>
      <c r="D149" s="954"/>
      <c r="E149" s="955"/>
      <c r="F149" s="419">
        <v>16</v>
      </c>
      <c r="G149" s="419">
        <v>16</v>
      </c>
      <c r="H149" s="419">
        <v>16</v>
      </c>
      <c r="I149" s="419"/>
      <c r="J149" s="419"/>
      <c r="K149" s="419"/>
      <c r="L149" s="419"/>
      <c r="M149" s="419">
        <v>16</v>
      </c>
      <c r="N149" s="419"/>
      <c r="O149" s="419"/>
      <c r="P149" s="419">
        <v>16</v>
      </c>
      <c r="Q149" s="419"/>
      <c r="R149" s="419">
        <v>16</v>
      </c>
      <c r="S149" s="419">
        <v>16</v>
      </c>
      <c r="T149" s="419"/>
    </row>
    <row r="150" spans="1:20">
      <c r="A150" s="949"/>
      <c r="B150" s="953" t="s">
        <v>510</v>
      </c>
      <c r="C150" s="954"/>
      <c r="D150" s="954"/>
      <c r="E150" s="955"/>
      <c r="F150" s="447">
        <f>F149*F148</f>
        <v>192</v>
      </c>
      <c r="G150" s="518">
        <f>G149*G148</f>
        <v>0</v>
      </c>
      <c r="H150" s="518">
        <f t="shared" ref="H150:T150" si="48">H149*H148</f>
        <v>960</v>
      </c>
      <c r="I150" s="518">
        <f t="shared" si="48"/>
        <v>0</v>
      </c>
      <c r="J150" s="518">
        <f t="shared" si="48"/>
        <v>0</v>
      </c>
      <c r="K150" s="518">
        <f t="shared" si="48"/>
        <v>0</v>
      </c>
      <c r="L150" s="518">
        <f t="shared" si="48"/>
        <v>0</v>
      </c>
      <c r="M150" s="518">
        <f t="shared" si="48"/>
        <v>480</v>
      </c>
      <c r="N150" s="518">
        <f t="shared" si="48"/>
        <v>0</v>
      </c>
      <c r="O150" s="518">
        <f t="shared" si="48"/>
        <v>0</v>
      </c>
      <c r="P150" s="518">
        <f t="shared" si="48"/>
        <v>400</v>
      </c>
      <c r="Q150" s="518">
        <f t="shared" si="48"/>
        <v>0</v>
      </c>
      <c r="R150" s="518">
        <f t="shared" si="48"/>
        <v>320</v>
      </c>
      <c r="S150" s="518">
        <f t="shared" si="48"/>
        <v>320</v>
      </c>
      <c r="T150" s="518">
        <f t="shared" si="48"/>
        <v>0</v>
      </c>
    </row>
    <row r="151" spans="1:20" ht="48" customHeight="1">
      <c r="A151" s="949"/>
      <c r="B151" s="568">
        <v>50</v>
      </c>
      <c r="C151" s="959" t="s">
        <v>576</v>
      </c>
      <c r="D151" s="960"/>
      <c r="E151" s="419" t="s">
        <v>400</v>
      </c>
      <c r="F151" s="436">
        <v>0</v>
      </c>
      <c r="G151" s="442">
        <v>12</v>
      </c>
      <c r="H151" s="440">
        <v>0</v>
      </c>
      <c r="I151" s="425">
        <v>12</v>
      </c>
      <c r="J151" s="426">
        <v>0</v>
      </c>
      <c r="K151" s="427">
        <v>0</v>
      </c>
      <c r="L151" s="420">
        <v>25</v>
      </c>
      <c r="M151" s="428">
        <v>30</v>
      </c>
      <c r="N151" s="521">
        <v>40</v>
      </c>
      <c r="O151" s="430">
        <v>20</v>
      </c>
      <c r="P151" s="431">
        <v>20</v>
      </c>
      <c r="Q151" s="432">
        <v>0</v>
      </c>
      <c r="R151" s="443">
        <v>20</v>
      </c>
      <c r="S151" s="444">
        <v>20</v>
      </c>
      <c r="T151" s="445">
        <v>60</v>
      </c>
    </row>
    <row r="152" spans="1:20">
      <c r="A152" s="949"/>
      <c r="B152" s="953" t="s">
        <v>509</v>
      </c>
      <c r="C152" s="954"/>
      <c r="D152" s="954"/>
      <c r="E152" s="955"/>
      <c r="F152" s="419"/>
      <c r="G152" s="419"/>
      <c r="H152" s="419"/>
      <c r="I152" s="419"/>
      <c r="J152" s="419"/>
      <c r="K152" s="419"/>
      <c r="L152" s="419"/>
      <c r="M152" s="419"/>
      <c r="N152" s="419"/>
      <c r="O152" s="419"/>
      <c r="P152" s="419"/>
      <c r="Q152" s="419"/>
      <c r="R152" s="419"/>
      <c r="S152" s="419"/>
      <c r="T152" s="419"/>
    </row>
    <row r="153" spans="1:20">
      <c r="A153" s="949"/>
      <c r="B153" s="953" t="s">
        <v>510</v>
      </c>
      <c r="C153" s="954"/>
      <c r="D153" s="954"/>
      <c r="E153" s="955"/>
      <c r="F153" s="447">
        <f>F152*F151</f>
        <v>0</v>
      </c>
      <c r="G153" s="518">
        <f>G152*G151</f>
        <v>0</v>
      </c>
      <c r="H153" s="518">
        <f t="shared" ref="H153:T153" si="49">H152*H151</f>
        <v>0</v>
      </c>
      <c r="I153" s="518">
        <f t="shared" si="49"/>
        <v>0</v>
      </c>
      <c r="J153" s="518">
        <f t="shared" si="49"/>
        <v>0</v>
      </c>
      <c r="K153" s="518">
        <f t="shared" si="49"/>
        <v>0</v>
      </c>
      <c r="L153" s="518">
        <f t="shared" si="49"/>
        <v>0</v>
      </c>
      <c r="M153" s="518">
        <f t="shared" si="49"/>
        <v>0</v>
      </c>
      <c r="N153" s="518">
        <f t="shared" si="49"/>
        <v>0</v>
      </c>
      <c r="O153" s="518">
        <f t="shared" si="49"/>
        <v>0</v>
      </c>
      <c r="P153" s="518">
        <f t="shared" si="49"/>
        <v>0</v>
      </c>
      <c r="Q153" s="518">
        <f t="shared" si="49"/>
        <v>0</v>
      </c>
      <c r="R153" s="518">
        <f t="shared" si="49"/>
        <v>0</v>
      </c>
      <c r="S153" s="518">
        <f t="shared" si="49"/>
        <v>0</v>
      </c>
      <c r="T153" s="518">
        <f t="shared" si="49"/>
        <v>0</v>
      </c>
    </row>
    <row r="154" spans="1:20" ht="49.5" customHeight="1">
      <c r="A154" s="949"/>
      <c r="B154" s="568">
        <v>51</v>
      </c>
      <c r="C154" s="959" t="s">
        <v>575</v>
      </c>
      <c r="D154" s="960"/>
      <c r="E154" s="419" t="s">
        <v>400</v>
      </c>
      <c r="F154" s="436">
        <v>0</v>
      </c>
      <c r="G154" s="442">
        <v>12</v>
      </c>
      <c r="H154" s="440">
        <v>0</v>
      </c>
      <c r="I154" s="425">
        <v>12</v>
      </c>
      <c r="J154" s="426">
        <v>0</v>
      </c>
      <c r="K154" s="427">
        <v>0</v>
      </c>
      <c r="L154" s="420">
        <v>25</v>
      </c>
      <c r="M154" s="428">
        <v>30</v>
      </c>
      <c r="N154" s="521">
        <v>40</v>
      </c>
      <c r="O154" s="430">
        <v>20</v>
      </c>
      <c r="P154" s="431">
        <v>20</v>
      </c>
      <c r="Q154" s="432">
        <v>0</v>
      </c>
      <c r="R154" s="443">
        <v>20</v>
      </c>
      <c r="S154" s="444">
        <v>20</v>
      </c>
      <c r="T154" s="445">
        <v>60</v>
      </c>
    </row>
    <row r="155" spans="1:20">
      <c r="A155" s="949"/>
      <c r="B155" s="953" t="s">
        <v>509</v>
      </c>
      <c r="C155" s="954"/>
      <c r="D155" s="954"/>
      <c r="E155" s="955"/>
      <c r="F155" s="419"/>
      <c r="G155" s="419">
        <v>14</v>
      </c>
      <c r="H155" s="419"/>
      <c r="I155" s="419">
        <v>14</v>
      </c>
      <c r="J155" s="419"/>
      <c r="K155" s="419"/>
      <c r="L155" s="419">
        <v>14</v>
      </c>
      <c r="M155" s="419">
        <v>14</v>
      </c>
      <c r="N155" s="419">
        <v>14</v>
      </c>
      <c r="O155" s="419">
        <v>14</v>
      </c>
      <c r="P155" s="419">
        <v>14</v>
      </c>
      <c r="Q155" s="419"/>
      <c r="R155" s="419">
        <v>14</v>
      </c>
      <c r="S155" s="419">
        <v>14</v>
      </c>
      <c r="T155" s="419">
        <v>14</v>
      </c>
    </row>
    <row r="156" spans="1:20">
      <c r="A156" s="949"/>
      <c r="B156" s="953" t="s">
        <v>510</v>
      </c>
      <c r="C156" s="954"/>
      <c r="D156" s="954"/>
      <c r="E156" s="955"/>
      <c r="F156" s="447">
        <f>F155*F154</f>
        <v>0</v>
      </c>
      <c r="G156" s="518">
        <f>G155*G154</f>
        <v>168</v>
      </c>
      <c r="H156" s="518">
        <f t="shared" ref="H156:T156" si="50">H155*H154</f>
        <v>0</v>
      </c>
      <c r="I156" s="518">
        <f t="shared" si="50"/>
        <v>168</v>
      </c>
      <c r="J156" s="518">
        <f t="shared" si="50"/>
        <v>0</v>
      </c>
      <c r="K156" s="518">
        <f t="shared" si="50"/>
        <v>0</v>
      </c>
      <c r="L156" s="518">
        <f t="shared" si="50"/>
        <v>350</v>
      </c>
      <c r="M156" s="518">
        <f t="shared" si="50"/>
        <v>420</v>
      </c>
      <c r="N156" s="518">
        <f t="shared" si="50"/>
        <v>560</v>
      </c>
      <c r="O156" s="518">
        <f t="shared" si="50"/>
        <v>280</v>
      </c>
      <c r="P156" s="518">
        <f t="shared" si="50"/>
        <v>280</v>
      </c>
      <c r="Q156" s="518">
        <f t="shared" si="50"/>
        <v>0</v>
      </c>
      <c r="R156" s="518">
        <f t="shared" si="50"/>
        <v>280</v>
      </c>
      <c r="S156" s="518">
        <f t="shared" si="50"/>
        <v>280</v>
      </c>
      <c r="T156" s="518">
        <f t="shared" si="50"/>
        <v>840</v>
      </c>
    </row>
    <row r="157" spans="1:20" ht="54.75" customHeight="1">
      <c r="A157" s="949"/>
      <c r="B157" s="568">
        <v>52</v>
      </c>
      <c r="C157" s="959" t="s">
        <v>574</v>
      </c>
      <c r="D157" s="960"/>
      <c r="E157" s="419" t="s">
        <v>400</v>
      </c>
      <c r="F157" s="436">
        <v>0</v>
      </c>
      <c r="G157" s="423">
        <v>0</v>
      </c>
      <c r="H157" s="440">
        <v>0</v>
      </c>
      <c r="I157" s="425">
        <v>5</v>
      </c>
      <c r="J157" s="519">
        <v>10</v>
      </c>
      <c r="K157" s="520">
        <v>10</v>
      </c>
      <c r="L157" s="420">
        <v>25</v>
      </c>
      <c r="M157" s="438">
        <v>0</v>
      </c>
      <c r="N157" s="521">
        <v>40</v>
      </c>
      <c r="O157" s="441">
        <v>0</v>
      </c>
      <c r="P157" s="431">
        <v>20</v>
      </c>
      <c r="Q157" s="432">
        <v>0</v>
      </c>
      <c r="R157" s="443">
        <v>20</v>
      </c>
      <c r="S157" s="444">
        <v>20</v>
      </c>
      <c r="T157" s="435">
        <v>0</v>
      </c>
    </row>
    <row r="158" spans="1:20">
      <c r="A158" s="949"/>
      <c r="B158" s="953" t="s">
        <v>509</v>
      </c>
      <c r="C158" s="954"/>
      <c r="D158" s="954"/>
      <c r="E158" s="955"/>
      <c r="F158" s="419"/>
      <c r="G158" s="419"/>
      <c r="H158" s="419"/>
      <c r="I158" s="419">
        <v>12</v>
      </c>
      <c r="J158" s="419">
        <v>12</v>
      </c>
      <c r="K158" s="419">
        <v>12</v>
      </c>
      <c r="L158" s="419">
        <v>12</v>
      </c>
      <c r="M158" s="419"/>
      <c r="N158" s="419">
        <v>12</v>
      </c>
      <c r="O158" s="419"/>
      <c r="P158" s="419">
        <v>12</v>
      </c>
      <c r="Q158" s="419"/>
      <c r="R158" s="419">
        <v>12</v>
      </c>
      <c r="S158" s="419">
        <v>12</v>
      </c>
      <c r="T158" s="419"/>
    </row>
    <row r="159" spans="1:20">
      <c r="A159" s="949"/>
      <c r="B159" s="953" t="s">
        <v>510</v>
      </c>
      <c r="C159" s="954"/>
      <c r="D159" s="954"/>
      <c r="E159" s="955"/>
      <c r="F159" s="447">
        <f>F158*F157</f>
        <v>0</v>
      </c>
      <c r="G159" s="518">
        <f>G158*G157</f>
        <v>0</v>
      </c>
      <c r="H159" s="518">
        <f t="shared" ref="H159:T159" si="51">H158*H157</f>
        <v>0</v>
      </c>
      <c r="I159" s="518">
        <f t="shared" si="51"/>
        <v>60</v>
      </c>
      <c r="J159" s="518">
        <f t="shared" si="51"/>
        <v>120</v>
      </c>
      <c r="K159" s="518">
        <f t="shared" si="51"/>
        <v>120</v>
      </c>
      <c r="L159" s="518">
        <f t="shared" si="51"/>
        <v>300</v>
      </c>
      <c r="M159" s="518">
        <f t="shared" si="51"/>
        <v>0</v>
      </c>
      <c r="N159" s="518">
        <f t="shared" si="51"/>
        <v>480</v>
      </c>
      <c r="O159" s="518">
        <f t="shared" si="51"/>
        <v>0</v>
      </c>
      <c r="P159" s="518">
        <f t="shared" si="51"/>
        <v>240</v>
      </c>
      <c r="Q159" s="518">
        <f t="shared" si="51"/>
        <v>0</v>
      </c>
      <c r="R159" s="518">
        <f t="shared" si="51"/>
        <v>240</v>
      </c>
      <c r="S159" s="518">
        <f t="shared" si="51"/>
        <v>240</v>
      </c>
      <c r="T159" s="518">
        <f t="shared" si="51"/>
        <v>0</v>
      </c>
    </row>
    <row r="160" spans="1:20" ht="48.75" customHeight="1">
      <c r="A160" s="949"/>
      <c r="B160" s="568">
        <v>53</v>
      </c>
      <c r="C160" s="959" t="s">
        <v>573</v>
      </c>
      <c r="D160" s="960"/>
      <c r="E160" s="419" t="s">
        <v>400</v>
      </c>
      <c r="F160" s="436">
        <v>0</v>
      </c>
      <c r="G160" s="423">
        <v>0</v>
      </c>
      <c r="H160" s="440">
        <v>0</v>
      </c>
      <c r="I160" s="425">
        <v>5</v>
      </c>
      <c r="J160" s="519">
        <v>10</v>
      </c>
      <c r="K160" s="520">
        <v>10</v>
      </c>
      <c r="L160" s="420">
        <v>25</v>
      </c>
      <c r="M160" s="438">
        <v>0</v>
      </c>
      <c r="N160" s="521">
        <v>40</v>
      </c>
      <c r="O160" s="441">
        <v>0</v>
      </c>
      <c r="P160" s="431">
        <v>20</v>
      </c>
      <c r="Q160" s="432">
        <v>0</v>
      </c>
      <c r="R160" s="443">
        <v>20</v>
      </c>
      <c r="S160" s="444">
        <v>20</v>
      </c>
      <c r="T160" s="435">
        <v>0</v>
      </c>
    </row>
    <row r="161" spans="1:20">
      <c r="A161" s="949"/>
      <c r="B161" s="953" t="s">
        <v>509</v>
      </c>
      <c r="C161" s="954"/>
      <c r="D161" s="954"/>
      <c r="E161" s="955"/>
      <c r="F161" s="419"/>
      <c r="G161" s="419"/>
      <c r="H161" s="419"/>
      <c r="I161" s="419">
        <v>12</v>
      </c>
      <c r="J161" s="419">
        <v>12</v>
      </c>
      <c r="K161" s="419">
        <v>12</v>
      </c>
      <c r="L161" s="419">
        <v>12</v>
      </c>
      <c r="M161" s="419"/>
      <c r="N161" s="419">
        <v>12</v>
      </c>
      <c r="O161" s="419"/>
      <c r="P161" s="419">
        <v>12</v>
      </c>
      <c r="Q161" s="419"/>
      <c r="R161" s="419">
        <v>12</v>
      </c>
      <c r="S161" s="419">
        <v>12</v>
      </c>
      <c r="T161" s="419"/>
    </row>
    <row r="162" spans="1:20">
      <c r="A162" s="949"/>
      <c r="B162" s="953" t="s">
        <v>510</v>
      </c>
      <c r="C162" s="954"/>
      <c r="D162" s="954"/>
      <c r="E162" s="955"/>
      <c r="F162" s="447">
        <f>F161*F160</f>
        <v>0</v>
      </c>
      <c r="G162" s="518">
        <f>G161*G160</f>
        <v>0</v>
      </c>
      <c r="H162" s="518">
        <f t="shared" ref="H162:T162" si="52">H161*H160</f>
        <v>0</v>
      </c>
      <c r="I162" s="518">
        <f t="shared" si="52"/>
        <v>60</v>
      </c>
      <c r="J162" s="518">
        <f t="shared" si="52"/>
        <v>120</v>
      </c>
      <c r="K162" s="518">
        <f t="shared" si="52"/>
        <v>120</v>
      </c>
      <c r="L162" s="518">
        <f t="shared" si="52"/>
        <v>300</v>
      </c>
      <c r="M162" s="518">
        <f t="shared" si="52"/>
        <v>0</v>
      </c>
      <c r="N162" s="518">
        <f t="shared" si="52"/>
        <v>480</v>
      </c>
      <c r="O162" s="518">
        <f t="shared" si="52"/>
        <v>0</v>
      </c>
      <c r="P162" s="518">
        <f t="shared" si="52"/>
        <v>240</v>
      </c>
      <c r="Q162" s="518">
        <f t="shared" si="52"/>
        <v>0</v>
      </c>
      <c r="R162" s="518">
        <f t="shared" si="52"/>
        <v>240</v>
      </c>
      <c r="S162" s="518">
        <f t="shared" si="52"/>
        <v>240</v>
      </c>
      <c r="T162" s="518">
        <f t="shared" si="52"/>
        <v>0</v>
      </c>
    </row>
    <row r="163" spans="1:20" ht="44.25" customHeight="1">
      <c r="A163" s="949"/>
      <c r="B163" s="568">
        <v>54</v>
      </c>
      <c r="C163" s="959" t="s">
        <v>572</v>
      </c>
      <c r="D163" s="960"/>
      <c r="E163" s="419" t="s">
        <v>400</v>
      </c>
      <c r="F163" s="447">
        <v>50</v>
      </c>
      <c r="G163" s="423">
        <v>0</v>
      </c>
      <c r="H163" s="424">
        <v>60</v>
      </c>
      <c r="I163" s="437">
        <v>0</v>
      </c>
      <c r="J163" s="519">
        <v>25</v>
      </c>
      <c r="K163" s="520">
        <v>25</v>
      </c>
      <c r="L163" s="421">
        <v>0</v>
      </c>
      <c r="M163" s="438">
        <v>0</v>
      </c>
      <c r="N163" s="429">
        <v>0</v>
      </c>
      <c r="O163" s="441">
        <v>0</v>
      </c>
      <c r="P163" s="439">
        <v>0</v>
      </c>
      <c r="Q163" s="448">
        <v>50</v>
      </c>
      <c r="R163" s="443">
        <v>12</v>
      </c>
      <c r="S163" s="444">
        <v>12</v>
      </c>
      <c r="T163" s="445">
        <v>80</v>
      </c>
    </row>
    <row r="164" spans="1:20">
      <c r="A164" s="949"/>
      <c r="B164" s="953" t="s">
        <v>509</v>
      </c>
      <c r="C164" s="954"/>
      <c r="D164" s="954"/>
      <c r="E164" s="955"/>
      <c r="F164" s="527">
        <v>11</v>
      </c>
      <c r="G164" s="527"/>
      <c r="H164" s="527">
        <v>11</v>
      </c>
      <c r="I164" s="527"/>
      <c r="J164" s="527">
        <v>11</v>
      </c>
      <c r="K164" s="527">
        <v>11</v>
      </c>
      <c r="L164" s="527"/>
      <c r="M164" s="527"/>
      <c r="N164" s="527"/>
      <c r="O164" s="527"/>
      <c r="P164" s="527"/>
      <c r="Q164" s="527">
        <v>11</v>
      </c>
      <c r="R164" s="527">
        <v>11</v>
      </c>
      <c r="S164" s="527">
        <v>11</v>
      </c>
      <c r="T164" s="527">
        <v>11</v>
      </c>
    </row>
    <row r="165" spans="1:20">
      <c r="A165" s="949"/>
      <c r="B165" s="953" t="s">
        <v>510</v>
      </c>
      <c r="C165" s="954"/>
      <c r="D165" s="954"/>
      <c r="E165" s="955"/>
      <c r="F165" s="447">
        <f>F164*F163</f>
        <v>550</v>
      </c>
      <c r="G165" s="518">
        <f>G164*G163</f>
        <v>0</v>
      </c>
      <c r="H165" s="518">
        <f t="shared" ref="H165:T165" si="53">H164*H163</f>
        <v>660</v>
      </c>
      <c r="I165" s="518">
        <f t="shared" si="53"/>
        <v>0</v>
      </c>
      <c r="J165" s="518">
        <f t="shared" si="53"/>
        <v>275</v>
      </c>
      <c r="K165" s="518">
        <f t="shared" si="53"/>
        <v>275</v>
      </c>
      <c r="L165" s="518">
        <f t="shared" si="53"/>
        <v>0</v>
      </c>
      <c r="M165" s="518">
        <f t="shared" si="53"/>
        <v>0</v>
      </c>
      <c r="N165" s="518">
        <f t="shared" si="53"/>
        <v>0</v>
      </c>
      <c r="O165" s="518">
        <f t="shared" si="53"/>
        <v>0</v>
      </c>
      <c r="P165" s="518">
        <f t="shared" si="53"/>
        <v>0</v>
      </c>
      <c r="Q165" s="518">
        <f t="shared" si="53"/>
        <v>550</v>
      </c>
      <c r="R165" s="518">
        <f t="shared" si="53"/>
        <v>132</v>
      </c>
      <c r="S165" s="518">
        <f t="shared" si="53"/>
        <v>132</v>
      </c>
      <c r="T165" s="518">
        <f t="shared" si="53"/>
        <v>880</v>
      </c>
    </row>
    <row r="166" spans="1:20" ht="51.75" customHeight="1">
      <c r="A166" s="949"/>
      <c r="B166" s="568">
        <v>55</v>
      </c>
      <c r="C166" s="959" t="s">
        <v>571</v>
      </c>
      <c r="D166" s="960"/>
      <c r="E166" s="419" t="s">
        <v>400</v>
      </c>
      <c r="F166" s="447">
        <v>50</v>
      </c>
      <c r="G166" s="423">
        <v>0</v>
      </c>
      <c r="H166" s="424">
        <v>60</v>
      </c>
      <c r="I166" s="437">
        <v>0</v>
      </c>
      <c r="J166" s="519">
        <v>25</v>
      </c>
      <c r="K166" s="520">
        <v>25</v>
      </c>
      <c r="L166" s="421">
        <v>0</v>
      </c>
      <c r="M166" s="438">
        <v>0</v>
      </c>
      <c r="N166" s="429">
        <v>0</v>
      </c>
      <c r="O166" s="441">
        <v>0</v>
      </c>
      <c r="P166" s="439">
        <v>0</v>
      </c>
      <c r="Q166" s="448">
        <v>50</v>
      </c>
      <c r="R166" s="443">
        <v>12</v>
      </c>
      <c r="S166" s="444">
        <v>12</v>
      </c>
      <c r="T166" s="445">
        <v>80</v>
      </c>
    </row>
    <row r="167" spans="1:20">
      <c r="A167" s="949"/>
      <c r="B167" s="953" t="s">
        <v>509</v>
      </c>
      <c r="C167" s="954"/>
      <c r="D167" s="954"/>
      <c r="E167" s="955"/>
      <c r="F167" s="527">
        <v>11</v>
      </c>
      <c r="G167" s="527"/>
      <c r="H167" s="527">
        <v>11</v>
      </c>
      <c r="I167" s="527"/>
      <c r="J167" s="527">
        <v>11</v>
      </c>
      <c r="K167" s="527">
        <v>11</v>
      </c>
      <c r="L167" s="527"/>
      <c r="M167" s="527"/>
      <c r="N167" s="527"/>
      <c r="O167" s="527"/>
      <c r="P167" s="527"/>
      <c r="Q167" s="527">
        <v>11</v>
      </c>
      <c r="R167" s="527">
        <v>11</v>
      </c>
      <c r="S167" s="527">
        <v>11</v>
      </c>
      <c r="T167" s="527">
        <v>11</v>
      </c>
    </row>
    <row r="168" spans="1:20">
      <c r="A168" s="949"/>
      <c r="B168" s="953" t="s">
        <v>510</v>
      </c>
      <c r="C168" s="954"/>
      <c r="D168" s="954"/>
      <c r="E168" s="955"/>
      <c r="F168" s="447">
        <f>F167*F166</f>
        <v>550</v>
      </c>
      <c r="G168" s="518">
        <f>G167*G166</f>
        <v>0</v>
      </c>
      <c r="H168" s="518">
        <f t="shared" ref="H168:T168" si="54">H167*H166</f>
        <v>660</v>
      </c>
      <c r="I168" s="518">
        <f t="shared" si="54"/>
        <v>0</v>
      </c>
      <c r="J168" s="518">
        <f t="shared" si="54"/>
        <v>275</v>
      </c>
      <c r="K168" s="518">
        <f t="shared" si="54"/>
        <v>275</v>
      </c>
      <c r="L168" s="518">
        <f t="shared" si="54"/>
        <v>0</v>
      </c>
      <c r="M168" s="518">
        <f t="shared" si="54"/>
        <v>0</v>
      </c>
      <c r="N168" s="518">
        <f t="shared" si="54"/>
        <v>0</v>
      </c>
      <c r="O168" s="518">
        <f t="shared" si="54"/>
        <v>0</v>
      </c>
      <c r="P168" s="518">
        <f t="shared" si="54"/>
        <v>0</v>
      </c>
      <c r="Q168" s="518">
        <f t="shared" si="54"/>
        <v>550</v>
      </c>
      <c r="R168" s="518">
        <f t="shared" si="54"/>
        <v>132</v>
      </c>
      <c r="S168" s="518">
        <f t="shared" si="54"/>
        <v>132</v>
      </c>
      <c r="T168" s="518">
        <f t="shared" si="54"/>
        <v>880</v>
      </c>
    </row>
    <row r="169" spans="1:20" ht="56.25" customHeight="1">
      <c r="A169" s="950"/>
      <c r="B169" s="568">
        <v>56</v>
      </c>
      <c r="C169" s="959" t="s">
        <v>570</v>
      </c>
      <c r="D169" s="960"/>
      <c r="E169" s="419" t="s">
        <v>400</v>
      </c>
      <c r="F169" s="436">
        <v>0</v>
      </c>
      <c r="G169" s="423">
        <v>0</v>
      </c>
      <c r="H169" s="440">
        <v>0</v>
      </c>
      <c r="I169" s="425">
        <v>12</v>
      </c>
      <c r="J169" s="519">
        <v>10</v>
      </c>
      <c r="K169" s="520">
        <v>10</v>
      </c>
      <c r="L169" s="420">
        <v>100</v>
      </c>
      <c r="M169" s="428">
        <v>50</v>
      </c>
      <c r="N169" s="429">
        <v>0</v>
      </c>
      <c r="O169" s="441">
        <v>0</v>
      </c>
      <c r="P169" s="431">
        <v>25</v>
      </c>
      <c r="Q169" s="448">
        <v>50</v>
      </c>
      <c r="R169" s="443">
        <v>25</v>
      </c>
      <c r="S169" s="444">
        <v>25</v>
      </c>
      <c r="T169" s="445">
        <v>60</v>
      </c>
    </row>
    <row r="170" spans="1:20" ht="23.25" customHeight="1">
      <c r="A170" s="464"/>
      <c r="B170" s="953" t="s">
        <v>509</v>
      </c>
      <c r="C170" s="954"/>
      <c r="D170" s="954"/>
      <c r="E170" s="955"/>
      <c r="F170" s="527"/>
      <c r="G170" s="527"/>
      <c r="H170" s="527"/>
      <c r="I170" s="527">
        <v>10</v>
      </c>
      <c r="J170" s="527">
        <v>10</v>
      </c>
      <c r="K170" s="527">
        <v>10</v>
      </c>
      <c r="L170" s="527">
        <v>10</v>
      </c>
      <c r="M170" s="527">
        <v>10</v>
      </c>
      <c r="N170" s="527"/>
      <c r="O170" s="527"/>
      <c r="P170" s="527">
        <v>10</v>
      </c>
      <c r="Q170" s="527">
        <v>10</v>
      </c>
      <c r="R170" s="527">
        <v>10</v>
      </c>
      <c r="S170" s="527">
        <v>10</v>
      </c>
      <c r="T170" s="527">
        <v>10</v>
      </c>
    </row>
    <row r="171" spans="1:20" ht="28.5" customHeight="1">
      <c r="A171" s="464"/>
      <c r="B171" s="953" t="s">
        <v>510</v>
      </c>
      <c r="C171" s="954"/>
      <c r="D171" s="954"/>
      <c r="E171" s="955"/>
      <c r="F171" s="447">
        <f>F170*F169</f>
        <v>0</v>
      </c>
      <c r="G171" s="518">
        <f>G170*G169</f>
        <v>0</v>
      </c>
      <c r="H171" s="518">
        <f t="shared" ref="H171:T171" si="55">H170*H169</f>
        <v>0</v>
      </c>
      <c r="I171" s="518">
        <f t="shared" si="55"/>
        <v>120</v>
      </c>
      <c r="J171" s="518">
        <f t="shared" si="55"/>
        <v>100</v>
      </c>
      <c r="K171" s="518">
        <f t="shared" si="55"/>
        <v>100</v>
      </c>
      <c r="L171" s="518">
        <f>L170*L169</f>
        <v>1000</v>
      </c>
      <c r="M171" s="518">
        <f t="shared" si="55"/>
        <v>500</v>
      </c>
      <c r="N171" s="518">
        <f t="shared" si="55"/>
        <v>0</v>
      </c>
      <c r="O171" s="518">
        <f t="shared" si="55"/>
        <v>0</v>
      </c>
      <c r="P171" s="518">
        <f t="shared" si="55"/>
        <v>250</v>
      </c>
      <c r="Q171" s="518">
        <f t="shared" si="55"/>
        <v>500</v>
      </c>
      <c r="R171" s="518">
        <f t="shared" si="55"/>
        <v>250</v>
      </c>
      <c r="S171" s="518">
        <f t="shared" si="55"/>
        <v>250</v>
      </c>
      <c r="T171" s="518">
        <f t="shared" si="55"/>
        <v>600</v>
      </c>
    </row>
    <row r="172" spans="1:20" ht="56.25" customHeight="1">
      <c r="A172" s="948" t="s">
        <v>642</v>
      </c>
      <c r="B172" s="568">
        <v>73</v>
      </c>
      <c r="C172" s="959" t="s">
        <v>643</v>
      </c>
      <c r="D172" s="960"/>
      <c r="E172" s="419" t="s">
        <v>400</v>
      </c>
      <c r="F172" s="436">
        <v>0</v>
      </c>
      <c r="G172" s="423">
        <v>0</v>
      </c>
      <c r="H172" s="440">
        <v>0</v>
      </c>
      <c r="I172" s="437">
        <v>0</v>
      </c>
      <c r="J172" s="426">
        <v>0</v>
      </c>
      <c r="K172" s="427">
        <v>0</v>
      </c>
      <c r="L172" s="421">
        <v>0</v>
      </c>
      <c r="M172" s="438">
        <v>0</v>
      </c>
      <c r="N172" s="429">
        <v>0</v>
      </c>
      <c r="O172" s="441">
        <v>0</v>
      </c>
      <c r="P172" s="439">
        <v>0</v>
      </c>
      <c r="Q172" s="432">
        <v>0</v>
      </c>
      <c r="R172" s="433">
        <v>0</v>
      </c>
      <c r="S172" s="434">
        <v>0</v>
      </c>
      <c r="T172" s="435">
        <v>0</v>
      </c>
    </row>
    <row r="173" spans="1:20" ht="24.75" customHeight="1">
      <c r="A173" s="949"/>
      <c r="B173" s="953" t="s">
        <v>509</v>
      </c>
      <c r="C173" s="954"/>
      <c r="D173" s="954"/>
      <c r="E173" s="955"/>
      <c r="F173" s="419"/>
      <c r="G173" s="419"/>
      <c r="H173" s="419"/>
      <c r="I173" s="419"/>
      <c r="J173" s="419"/>
      <c r="K173" s="419"/>
      <c r="L173" s="419"/>
      <c r="M173" s="419"/>
      <c r="N173" s="419"/>
      <c r="O173" s="419"/>
      <c r="P173" s="419"/>
      <c r="Q173" s="419"/>
      <c r="R173" s="419"/>
      <c r="S173" s="419"/>
      <c r="T173" s="419"/>
    </row>
    <row r="174" spans="1:20">
      <c r="A174" s="949"/>
      <c r="B174" s="953" t="s">
        <v>510</v>
      </c>
      <c r="C174" s="954"/>
      <c r="D174" s="954"/>
      <c r="E174" s="955"/>
      <c r="F174" s="447">
        <f>F173*F172</f>
        <v>0</v>
      </c>
      <c r="G174" s="518">
        <f>G173*G172</f>
        <v>0</v>
      </c>
      <c r="H174" s="518">
        <f t="shared" ref="H174:T174" si="56">H173*H172</f>
        <v>0</v>
      </c>
      <c r="I174" s="518">
        <f t="shared" si="56"/>
        <v>0</v>
      </c>
      <c r="J174" s="518">
        <f t="shared" si="56"/>
        <v>0</v>
      </c>
      <c r="K174" s="518">
        <f t="shared" si="56"/>
        <v>0</v>
      </c>
      <c r="L174" s="518">
        <f t="shared" si="56"/>
        <v>0</v>
      </c>
      <c r="M174" s="518">
        <f t="shared" si="56"/>
        <v>0</v>
      </c>
      <c r="N174" s="518">
        <f t="shared" si="56"/>
        <v>0</v>
      </c>
      <c r="O174" s="518">
        <f t="shared" si="56"/>
        <v>0</v>
      </c>
      <c r="P174" s="518">
        <f t="shared" si="56"/>
        <v>0</v>
      </c>
      <c r="Q174" s="518">
        <f t="shared" si="56"/>
        <v>0</v>
      </c>
      <c r="R174" s="518">
        <f t="shared" si="56"/>
        <v>0</v>
      </c>
      <c r="S174" s="518">
        <f t="shared" si="56"/>
        <v>0</v>
      </c>
      <c r="T174" s="518">
        <f t="shared" si="56"/>
        <v>0</v>
      </c>
    </row>
    <row r="175" spans="1:20" ht="56.25" customHeight="1">
      <c r="A175" s="950"/>
      <c r="B175" s="568">
        <v>74</v>
      </c>
      <c r="C175" s="959" t="s">
        <v>562</v>
      </c>
      <c r="D175" s="960"/>
      <c r="E175" s="419" t="s">
        <v>400</v>
      </c>
      <c r="F175" s="447">
        <v>1</v>
      </c>
      <c r="G175" s="442">
        <v>1</v>
      </c>
      <c r="H175" s="424">
        <v>1</v>
      </c>
      <c r="I175" s="425">
        <v>1</v>
      </c>
      <c r="J175" s="519">
        <v>1</v>
      </c>
      <c r="K175" s="520">
        <v>1</v>
      </c>
      <c r="L175" s="420">
        <v>1</v>
      </c>
      <c r="M175" s="428">
        <v>1</v>
      </c>
      <c r="N175" s="521">
        <v>1</v>
      </c>
      <c r="O175" s="430">
        <v>1</v>
      </c>
      <c r="P175" s="431">
        <v>1</v>
      </c>
      <c r="Q175" s="448">
        <v>1</v>
      </c>
      <c r="R175" s="443">
        <v>1</v>
      </c>
      <c r="S175" s="444">
        <v>1</v>
      </c>
      <c r="T175" s="445">
        <v>1</v>
      </c>
    </row>
    <row r="176" spans="1:20">
      <c r="A176" s="464"/>
      <c r="B176" s="953" t="s">
        <v>509</v>
      </c>
      <c r="C176" s="954"/>
      <c r="D176" s="954"/>
      <c r="E176" s="955"/>
      <c r="F176" s="419">
        <v>7</v>
      </c>
      <c r="G176" s="419">
        <v>7</v>
      </c>
      <c r="H176" s="419">
        <v>7</v>
      </c>
      <c r="I176" s="419">
        <v>7</v>
      </c>
      <c r="J176" s="419">
        <v>7</v>
      </c>
      <c r="K176" s="419">
        <v>7</v>
      </c>
      <c r="L176" s="419">
        <v>7</v>
      </c>
      <c r="M176" s="419">
        <v>7</v>
      </c>
      <c r="N176" s="419">
        <v>7</v>
      </c>
      <c r="O176" s="419">
        <v>7</v>
      </c>
      <c r="P176" s="419">
        <v>7</v>
      </c>
      <c r="Q176" s="419">
        <v>7</v>
      </c>
      <c r="R176" s="419">
        <v>7</v>
      </c>
      <c r="S176" s="419">
        <v>7</v>
      </c>
      <c r="T176" s="419">
        <v>7</v>
      </c>
    </row>
    <row r="177" spans="1:20">
      <c r="A177" s="464"/>
      <c r="B177" s="953" t="s">
        <v>510</v>
      </c>
      <c r="C177" s="954"/>
      <c r="D177" s="954"/>
      <c r="E177" s="955"/>
      <c r="F177" s="447">
        <f>F176*F175</f>
        <v>7</v>
      </c>
      <c r="G177" s="518">
        <f>G176*G175</f>
        <v>7</v>
      </c>
      <c r="H177" s="518">
        <f t="shared" ref="H177:T177" si="57">H176*H175</f>
        <v>7</v>
      </c>
      <c r="I177" s="518">
        <f t="shared" si="57"/>
        <v>7</v>
      </c>
      <c r="J177" s="518">
        <f t="shared" si="57"/>
        <v>7</v>
      </c>
      <c r="K177" s="518">
        <f t="shared" si="57"/>
        <v>7</v>
      </c>
      <c r="L177" s="518">
        <f t="shared" si="57"/>
        <v>7</v>
      </c>
      <c r="M177" s="518">
        <f t="shared" si="57"/>
        <v>7</v>
      </c>
      <c r="N177" s="518">
        <f t="shared" si="57"/>
        <v>7</v>
      </c>
      <c r="O177" s="518">
        <f t="shared" si="57"/>
        <v>7</v>
      </c>
      <c r="P177" s="518">
        <f t="shared" si="57"/>
        <v>7</v>
      </c>
      <c r="Q177" s="518">
        <f t="shared" si="57"/>
        <v>7</v>
      </c>
      <c r="R177" s="518">
        <f t="shared" si="57"/>
        <v>7</v>
      </c>
      <c r="S177" s="518">
        <f t="shared" si="57"/>
        <v>7</v>
      </c>
      <c r="T177" s="518">
        <f t="shared" si="57"/>
        <v>7</v>
      </c>
    </row>
    <row r="178" spans="1:20" ht="54" customHeight="1">
      <c r="A178" s="948" t="s">
        <v>644</v>
      </c>
      <c r="B178" s="568">
        <v>75</v>
      </c>
      <c r="C178" s="959" t="s">
        <v>645</v>
      </c>
      <c r="D178" s="960"/>
      <c r="E178" s="419" t="s">
        <v>400</v>
      </c>
      <c r="F178" s="436">
        <v>0</v>
      </c>
      <c r="G178" s="442">
        <v>1</v>
      </c>
      <c r="H178" s="440">
        <v>0</v>
      </c>
      <c r="I178" s="437">
        <v>0</v>
      </c>
      <c r="J178" s="519">
        <v>1</v>
      </c>
      <c r="K178" s="520">
        <v>1</v>
      </c>
      <c r="L178" s="421">
        <v>0</v>
      </c>
      <c r="M178" s="428">
        <v>1</v>
      </c>
      <c r="N178" s="521">
        <v>1</v>
      </c>
      <c r="O178" s="430">
        <v>1</v>
      </c>
      <c r="P178" s="431">
        <v>1</v>
      </c>
      <c r="Q178" s="432">
        <v>0</v>
      </c>
      <c r="R178" s="433">
        <v>0</v>
      </c>
      <c r="S178" s="434">
        <v>0</v>
      </c>
      <c r="T178" s="435">
        <v>0</v>
      </c>
    </row>
    <row r="179" spans="1:20">
      <c r="A179" s="949"/>
      <c r="B179" s="953" t="s">
        <v>509</v>
      </c>
      <c r="C179" s="954"/>
      <c r="D179" s="954"/>
      <c r="E179" s="955"/>
      <c r="F179" s="527"/>
      <c r="G179" s="527">
        <v>5</v>
      </c>
      <c r="H179" s="527"/>
      <c r="I179" s="527"/>
      <c r="J179" s="527">
        <v>5</v>
      </c>
      <c r="K179" s="527">
        <v>5</v>
      </c>
      <c r="L179" s="527"/>
      <c r="M179" s="527">
        <v>5</v>
      </c>
      <c r="N179" s="527">
        <v>5</v>
      </c>
      <c r="O179" s="527">
        <v>5</v>
      </c>
      <c r="P179" s="527">
        <v>5</v>
      </c>
      <c r="Q179" s="527"/>
      <c r="R179" s="527"/>
      <c r="S179" s="527"/>
      <c r="T179" s="527"/>
    </row>
    <row r="180" spans="1:20">
      <c r="A180" s="949"/>
      <c r="B180" s="953" t="s">
        <v>510</v>
      </c>
      <c r="C180" s="954"/>
      <c r="D180" s="954"/>
      <c r="E180" s="955"/>
      <c r="F180" s="447">
        <f>F179*F178</f>
        <v>0</v>
      </c>
      <c r="G180" s="518">
        <f>G179*G178</f>
        <v>5</v>
      </c>
      <c r="H180" s="518">
        <f t="shared" ref="H180:T180" si="58">H179*H178</f>
        <v>0</v>
      </c>
      <c r="I180" s="518">
        <f t="shared" si="58"/>
        <v>0</v>
      </c>
      <c r="J180" s="518">
        <f t="shared" si="58"/>
        <v>5</v>
      </c>
      <c r="K180" s="518">
        <f t="shared" si="58"/>
        <v>5</v>
      </c>
      <c r="L180" s="518">
        <f t="shared" si="58"/>
        <v>0</v>
      </c>
      <c r="M180" s="518">
        <f t="shared" si="58"/>
        <v>5</v>
      </c>
      <c r="N180" s="518">
        <f t="shared" si="58"/>
        <v>5</v>
      </c>
      <c r="O180" s="518">
        <f t="shared" si="58"/>
        <v>5</v>
      </c>
      <c r="P180" s="518">
        <f t="shared" si="58"/>
        <v>5</v>
      </c>
      <c r="Q180" s="518">
        <f t="shared" si="58"/>
        <v>0</v>
      </c>
      <c r="R180" s="518">
        <f t="shared" si="58"/>
        <v>0</v>
      </c>
      <c r="S180" s="518">
        <f t="shared" si="58"/>
        <v>0</v>
      </c>
      <c r="T180" s="518">
        <f t="shared" si="58"/>
        <v>0</v>
      </c>
    </row>
    <row r="181" spans="1:20" ht="57" customHeight="1">
      <c r="A181" s="949"/>
      <c r="B181" s="568">
        <v>76</v>
      </c>
      <c r="C181" s="959" t="s">
        <v>646</v>
      </c>
      <c r="D181" s="960"/>
      <c r="E181" s="419" t="s">
        <v>400</v>
      </c>
      <c r="F181" s="436">
        <v>0</v>
      </c>
      <c r="G181" s="423">
        <v>0</v>
      </c>
      <c r="H181" s="440">
        <v>0</v>
      </c>
      <c r="I181" s="437">
        <v>0</v>
      </c>
      <c r="J181" s="519">
        <v>1</v>
      </c>
      <c r="K181" s="520">
        <v>1</v>
      </c>
      <c r="L181" s="421">
        <v>0</v>
      </c>
      <c r="M181" s="428">
        <v>1</v>
      </c>
      <c r="N181" s="521">
        <v>1</v>
      </c>
      <c r="O181" s="441">
        <v>0</v>
      </c>
      <c r="P181" s="439">
        <v>0</v>
      </c>
      <c r="Q181" s="432">
        <v>0</v>
      </c>
      <c r="R181" s="433">
        <v>0</v>
      </c>
      <c r="S181" s="434">
        <v>0</v>
      </c>
      <c r="T181" s="435">
        <v>0</v>
      </c>
    </row>
    <row r="182" spans="1:20">
      <c r="A182" s="949"/>
      <c r="B182" s="953" t="s">
        <v>509</v>
      </c>
      <c r="C182" s="954"/>
      <c r="D182" s="954"/>
      <c r="E182" s="955"/>
      <c r="F182" s="527"/>
      <c r="G182" s="527"/>
      <c r="H182" s="527"/>
      <c r="I182" s="527"/>
      <c r="J182" s="527">
        <v>5</v>
      </c>
      <c r="K182" s="527">
        <v>5</v>
      </c>
      <c r="L182" s="527"/>
      <c r="M182" s="527">
        <v>5</v>
      </c>
      <c r="N182" s="527">
        <v>5</v>
      </c>
      <c r="O182" s="527"/>
      <c r="P182" s="527"/>
      <c r="Q182" s="527"/>
      <c r="R182" s="527"/>
      <c r="S182" s="527"/>
      <c r="T182" s="527"/>
    </row>
    <row r="183" spans="1:20">
      <c r="A183" s="949"/>
      <c r="B183" s="953" t="s">
        <v>510</v>
      </c>
      <c r="C183" s="954"/>
      <c r="D183" s="954"/>
      <c r="E183" s="955"/>
      <c r="F183" s="447">
        <f>F182*F181</f>
        <v>0</v>
      </c>
      <c r="G183" s="518">
        <f>G182*G181</f>
        <v>0</v>
      </c>
      <c r="H183" s="518">
        <f t="shared" ref="H183:T183" si="59">H182*H181</f>
        <v>0</v>
      </c>
      <c r="I183" s="518">
        <f t="shared" si="59"/>
        <v>0</v>
      </c>
      <c r="J183" s="518">
        <f t="shared" si="59"/>
        <v>5</v>
      </c>
      <c r="K183" s="518">
        <f t="shared" si="59"/>
        <v>5</v>
      </c>
      <c r="L183" s="518">
        <f t="shared" si="59"/>
        <v>0</v>
      </c>
      <c r="M183" s="518">
        <f t="shared" si="59"/>
        <v>5</v>
      </c>
      <c r="N183" s="518">
        <f t="shared" si="59"/>
        <v>5</v>
      </c>
      <c r="O183" s="518">
        <f t="shared" si="59"/>
        <v>0</v>
      </c>
      <c r="P183" s="518">
        <f t="shared" si="59"/>
        <v>0</v>
      </c>
      <c r="Q183" s="518">
        <f t="shared" si="59"/>
        <v>0</v>
      </c>
      <c r="R183" s="518">
        <f t="shared" si="59"/>
        <v>0</v>
      </c>
      <c r="S183" s="518">
        <f t="shared" si="59"/>
        <v>0</v>
      </c>
      <c r="T183" s="518">
        <f t="shared" si="59"/>
        <v>0</v>
      </c>
    </row>
    <row r="184" spans="1:20" ht="39" customHeight="1">
      <c r="A184" s="949"/>
      <c r="B184" s="568">
        <v>77</v>
      </c>
      <c r="C184" s="959" t="s">
        <v>647</v>
      </c>
      <c r="D184" s="960"/>
      <c r="E184" s="419" t="s">
        <v>400</v>
      </c>
      <c r="F184" s="436">
        <v>0</v>
      </c>
      <c r="G184" s="423">
        <v>0</v>
      </c>
      <c r="H184" s="440">
        <v>0</v>
      </c>
      <c r="I184" s="437">
        <v>0</v>
      </c>
      <c r="J184" s="426">
        <v>0</v>
      </c>
      <c r="K184" s="427">
        <v>0</v>
      </c>
      <c r="L184" s="420">
        <v>2</v>
      </c>
      <c r="M184" s="428">
        <v>1</v>
      </c>
      <c r="N184" s="429">
        <v>0</v>
      </c>
      <c r="O184" s="441">
        <v>0</v>
      </c>
      <c r="P184" s="439">
        <v>0</v>
      </c>
      <c r="Q184" s="432">
        <v>0</v>
      </c>
      <c r="R184" s="433">
        <v>0</v>
      </c>
      <c r="S184" s="434">
        <v>0</v>
      </c>
      <c r="T184" s="435">
        <v>0</v>
      </c>
    </row>
    <row r="185" spans="1:20">
      <c r="A185" s="949"/>
      <c r="B185" s="953" t="s">
        <v>509</v>
      </c>
      <c r="C185" s="954"/>
      <c r="D185" s="954"/>
      <c r="E185" s="955"/>
      <c r="F185" s="419"/>
      <c r="G185" s="419"/>
      <c r="H185" s="419"/>
      <c r="I185" s="419"/>
      <c r="J185" s="419"/>
      <c r="K185" s="419"/>
      <c r="L185" s="419">
        <v>25</v>
      </c>
      <c r="M185" s="419">
        <v>25</v>
      </c>
      <c r="N185" s="419"/>
      <c r="O185" s="419"/>
      <c r="P185" s="419"/>
      <c r="Q185" s="419"/>
      <c r="R185" s="419"/>
      <c r="S185" s="419"/>
      <c r="T185" s="419"/>
    </row>
    <row r="186" spans="1:20">
      <c r="A186" s="949"/>
      <c r="B186" s="953" t="s">
        <v>510</v>
      </c>
      <c r="C186" s="954"/>
      <c r="D186" s="954"/>
      <c r="E186" s="955"/>
      <c r="F186" s="447">
        <f>F185*F184</f>
        <v>0</v>
      </c>
      <c r="G186" s="518">
        <f>G185*G184</f>
        <v>0</v>
      </c>
      <c r="H186" s="518">
        <f t="shared" ref="H186:T186" si="60">H185*H184</f>
        <v>0</v>
      </c>
      <c r="I186" s="518">
        <f t="shared" si="60"/>
        <v>0</v>
      </c>
      <c r="J186" s="518">
        <f t="shared" si="60"/>
        <v>0</v>
      </c>
      <c r="K186" s="518">
        <f t="shared" si="60"/>
        <v>0</v>
      </c>
      <c r="L186" s="518">
        <f t="shared" si="60"/>
        <v>50</v>
      </c>
      <c r="M186" s="518">
        <f t="shared" si="60"/>
        <v>25</v>
      </c>
      <c r="N186" s="518">
        <f t="shared" si="60"/>
        <v>0</v>
      </c>
      <c r="O186" s="518">
        <f t="shared" si="60"/>
        <v>0</v>
      </c>
      <c r="P186" s="518">
        <f t="shared" si="60"/>
        <v>0</v>
      </c>
      <c r="Q186" s="518">
        <f t="shared" si="60"/>
        <v>0</v>
      </c>
      <c r="R186" s="518">
        <f t="shared" si="60"/>
        <v>0</v>
      </c>
      <c r="S186" s="518">
        <f t="shared" si="60"/>
        <v>0</v>
      </c>
      <c r="T186" s="518">
        <f t="shared" si="60"/>
        <v>0</v>
      </c>
    </row>
    <row r="187" spans="1:20" ht="40.5" customHeight="1">
      <c r="A187" s="949"/>
      <c r="B187" s="568">
        <v>78</v>
      </c>
      <c r="C187" s="959" t="s">
        <v>569</v>
      </c>
      <c r="D187" s="960"/>
      <c r="E187" s="419" t="s">
        <v>400</v>
      </c>
      <c r="F187" s="447">
        <v>1</v>
      </c>
      <c r="G187" s="423">
        <v>0</v>
      </c>
      <c r="H187" s="424">
        <v>1</v>
      </c>
      <c r="I187" s="425">
        <v>1</v>
      </c>
      <c r="J187" s="426">
        <v>0</v>
      </c>
      <c r="K187" s="427">
        <v>0</v>
      </c>
      <c r="L187" s="420">
        <v>1</v>
      </c>
      <c r="M187" s="428">
        <v>1</v>
      </c>
      <c r="N187" s="429">
        <v>0</v>
      </c>
      <c r="O187" s="430">
        <v>1</v>
      </c>
      <c r="P187" s="431">
        <v>1</v>
      </c>
      <c r="Q187" s="448">
        <v>1</v>
      </c>
      <c r="R187" s="433">
        <v>0</v>
      </c>
      <c r="S187" s="434">
        <v>0</v>
      </c>
      <c r="T187" s="445">
        <v>1</v>
      </c>
    </row>
    <row r="188" spans="1:20">
      <c r="A188" s="949"/>
      <c r="B188" s="953" t="s">
        <v>509</v>
      </c>
      <c r="C188" s="954"/>
      <c r="D188" s="954"/>
      <c r="E188" s="955"/>
      <c r="F188" s="419">
        <v>8</v>
      </c>
      <c r="G188" s="419"/>
      <c r="H188" s="419">
        <v>8</v>
      </c>
      <c r="I188" s="419">
        <v>8</v>
      </c>
      <c r="J188" s="419"/>
      <c r="K188" s="419"/>
      <c r="L188" s="419">
        <v>8</v>
      </c>
      <c r="M188" s="419">
        <v>8</v>
      </c>
      <c r="N188" s="419"/>
      <c r="O188" s="419">
        <v>8</v>
      </c>
      <c r="P188" s="419">
        <v>8</v>
      </c>
      <c r="Q188" s="419">
        <v>8</v>
      </c>
      <c r="R188" s="419"/>
      <c r="S188" s="419"/>
      <c r="T188" s="419">
        <v>8</v>
      </c>
    </row>
    <row r="189" spans="1:20">
      <c r="A189" s="949"/>
      <c r="B189" s="953" t="s">
        <v>510</v>
      </c>
      <c r="C189" s="954"/>
      <c r="D189" s="954"/>
      <c r="E189" s="955"/>
      <c r="F189" s="447">
        <f>F188*F187</f>
        <v>8</v>
      </c>
      <c r="G189" s="518">
        <f>G188*G187</f>
        <v>0</v>
      </c>
      <c r="H189" s="518">
        <f t="shared" ref="H189:T189" si="61">H188*H187</f>
        <v>8</v>
      </c>
      <c r="I189" s="518">
        <f t="shared" si="61"/>
        <v>8</v>
      </c>
      <c r="J189" s="518">
        <f t="shared" si="61"/>
        <v>0</v>
      </c>
      <c r="K189" s="518">
        <f t="shared" si="61"/>
        <v>0</v>
      </c>
      <c r="L189" s="518">
        <f t="shared" si="61"/>
        <v>8</v>
      </c>
      <c r="M189" s="518">
        <f t="shared" si="61"/>
        <v>8</v>
      </c>
      <c r="N189" s="518">
        <f t="shared" si="61"/>
        <v>0</v>
      </c>
      <c r="O189" s="518">
        <f t="shared" si="61"/>
        <v>8</v>
      </c>
      <c r="P189" s="518">
        <f t="shared" si="61"/>
        <v>8</v>
      </c>
      <c r="Q189" s="518">
        <f t="shared" si="61"/>
        <v>8</v>
      </c>
      <c r="R189" s="518">
        <f t="shared" si="61"/>
        <v>0</v>
      </c>
      <c r="S189" s="518">
        <f t="shared" si="61"/>
        <v>0</v>
      </c>
      <c r="T189" s="518">
        <f t="shared" si="61"/>
        <v>8</v>
      </c>
    </row>
    <row r="190" spans="1:20" ht="40.5" customHeight="1">
      <c r="A190" s="949"/>
      <c r="B190" s="568">
        <v>79</v>
      </c>
      <c r="C190" s="959" t="s">
        <v>648</v>
      </c>
      <c r="D190" s="960"/>
      <c r="E190" s="419" t="s">
        <v>400</v>
      </c>
      <c r="F190" s="436"/>
      <c r="G190" s="423">
        <v>0</v>
      </c>
      <c r="H190" s="440">
        <v>0</v>
      </c>
      <c r="I190" s="437">
        <v>0</v>
      </c>
      <c r="J190" s="426">
        <v>0</v>
      </c>
      <c r="K190" s="427">
        <v>0</v>
      </c>
      <c r="L190" s="421">
        <v>0</v>
      </c>
      <c r="M190" s="438">
        <v>0</v>
      </c>
      <c r="N190" s="429">
        <v>0</v>
      </c>
      <c r="O190" s="441">
        <v>0</v>
      </c>
      <c r="P190" s="439">
        <v>0</v>
      </c>
      <c r="Q190" s="432">
        <v>0</v>
      </c>
      <c r="R190" s="433">
        <v>0</v>
      </c>
      <c r="S190" s="434">
        <v>0</v>
      </c>
      <c r="T190" s="435">
        <v>0</v>
      </c>
    </row>
    <row r="191" spans="1:20">
      <c r="A191" s="949"/>
      <c r="B191" s="953" t="s">
        <v>509</v>
      </c>
      <c r="C191" s="954"/>
      <c r="D191" s="954"/>
      <c r="E191" s="955"/>
      <c r="F191" s="419"/>
      <c r="G191" s="419"/>
      <c r="H191" s="419"/>
      <c r="I191" s="419"/>
      <c r="J191" s="419"/>
      <c r="K191" s="419"/>
      <c r="L191" s="419"/>
      <c r="M191" s="419"/>
      <c r="N191" s="419"/>
      <c r="O191" s="419"/>
      <c r="P191" s="419"/>
      <c r="Q191" s="419"/>
      <c r="R191" s="419"/>
      <c r="S191" s="419"/>
      <c r="T191" s="419"/>
    </row>
    <row r="192" spans="1:20">
      <c r="A192" s="949"/>
      <c r="B192" s="953" t="s">
        <v>510</v>
      </c>
      <c r="C192" s="954"/>
      <c r="D192" s="954"/>
      <c r="E192" s="955"/>
      <c r="F192" s="447">
        <f>F191*F190</f>
        <v>0</v>
      </c>
      <c r="G192" s="518">
        <f>G191*G190</f>
        <v>0</v>
      </c>
      <c r="H192" s="518">
        <f t="shared" ref="H192:T192" si="62">H191*H190</f>
        <v>0</v>
      </c>
      <c r="I192" s="518">
        <f t="shared" si="62"/>
        <v>0</v>
      </c>
      <c r="J192" s="518">
        <f t="shared" si="62"/>
        <v>0</v>
      </c>
      <c r="K192" s="518">
        <f t="shared" si="62"/>
        <v>0</v>
      </c>
      <c r="L192" s="518">
        <f t="shared" si="62"/>
        <v>0</v>
      </c>
      <c r="M192" s="518">
        <f t="shared" si="62"/>
        <v>0</v>
      </c>
      <c r="N192" s="518">
        <f t="shared" si="62"/>
        <v>0</v>
      </c>
      <c r="O192" s="518">
        <f t="shared" si="62"/>
        <v>0</v>
      </c>
      <c r="P192" s="518">
        <f t="shared" si="62"/>
        <v>0</v>
      </c>
      <c r="Q192" s="518">
        <f t="shared" si="62"/>
        <v>0</v>
      </c>
      <c r="R192" s="518">
        <f t="shared" si="62"/>
        <v>0</v>
      </c>
      <c r="S192" s="518">
        <f t="shared" si="62"/>
        <v>0</v>
      </c>
      <c r="T192" s="518">
        <f t="shared" si="62"/>
        <v>0</v>
      </c>
    </row>
    <row r="193" spans="1:20" ht="57.75" customHeight="1">
      <c r="A193" s="949"/>
      <c r="B193" s="568">
        <v>80</v>
      </c>
      <c r="C193" s="959" t="s">
        <v>568</v>
      </c>
      <c r="D193" s="960"/>
      <c r="E193" s="419" t="s">
        <v>400</v>
      </c>
      <c r="F193" s="436">
        <v>0</v>
      </c>
      <c r="G193" s="423">
        <v>0</v>
      </c>
      <c r="H193" s="440">
        <v>0</v>
      </c>
      <c r="I193" s="437">
        <v>0</v>
      </c>
      <c r="J193" s="426">
        <v>0</v>
      </c>
      <c r="K193" s="427">
        <v>0</v>
      </c>
      <c r="L193" s="420">
        <v>1</v>
      </c>
      <c r="M193" s="438">
        <v>0</v>
      </c>
      <c r="N193" s="429">
        <v>0</v>
      </c>
      <c r="O193" s="441">
        <v>0</v>
      </c>
      <c r="P193" s="439">
        <v>0</v>
      </c>
      <c r="Q193" s="432">
        <v>0</v>
      </c>
      <c r="R193" s="433">
        <v>0</v>
      </c>
      <c r="S193" s="434">
        <v>0</v>
      </c>
      <c r="T193" s="435">
        <v>0</v>
      </c>
    </row>
    <row r="194" spans="1:20">
      <c r="A194" s="949"/>
      <c r="B194" s="953" t="s">
        <v>509</v>
      </c>
      <c r="C194" s="954"/>
      <c r="D194" s="954"/>
      <c r="E194" s="955"/>
      <c r="F194" s="527"/>
      <c r="G194" s="527"/>
      <c r="H194" s="527"/>
      <c r="I194" s="527"/>
      <c r="J194" s="527"/>
      <c r="K194" s="527"/>
      <c r="L194" s="527"/>
      <c r="M194" s="527"/>
      <c r="N194" s="527"/>
      <c r="O194" s="527"/>
      <c r="P194" s="527"/>
      <c r="Q194" s="527"/>
      <c r="R194" s="527"/>
      <c r="S194" s="527"/>
      <c r="T194" s="527"/>
    </row>
    <row r="195" spans="1:20">
      <c r="A195" s="949"/>
      <c r="B195" s="953" t="s">
        <v>510</v>
      </c>
      <c r="C195" s="954"/>
      <c r="D195" s="954"/>
      <c r="E195" s="955"/>
      <c r="F195" s="447">
        <f>F194*F193</f>
        <v>0</v>
      </c>
      <c r="G195" s="518">
        <f>G194*G193</f>
        <v>0</v>
      </c>
      <c r="H195" s="518">
        <f t="shared" ref="H195:T195" si="63">H194*H193</f>
        <v>0</v>
      </c>
      <c r="I195" s="518">
        <f t="shared" si="63"/>
        <v>0</v>
      </c>
      <c r="J195" s="518">
        <f t="shared" si="63"/>
        <v>0</v>
      </c>
      <c r="K195" s="518">
        <f t="shared" si="63"/>
        <v>0</v>
      </c>
      <c r="L195" s="518">
        <f t="shared" si="63"/>
        <v>0</v>
      </c>
      <c r="M195" s="518">
        <f t="shared" si="63"/>
        <v>0</v>
      </c>
      <c r="N195" s="518">
        <f t="shared" si="63"/>
        <v>0</v>
      </c>
      <c r="O195" s="518">
        <f t="shared" si="63"/>
        <v>0</v>
      </c>
      <c r="P195" s="518">
        <f t="shared" si="63"/>
        <v>0</v>
      </c>
      <c r="Q195" s="518">
        <f t="shared" si="63"/>
        <v>0</v>
      </c>
      <c r="R195" s="518">
        <f t="shared" si="63"/>
        <v>0</v>
      </c>
      <c r="S195" s="518">
        <f t="shared" si="63"/>
        <v>0</v>
      </c>
      <c r="T195" s="518">
        <f t="shared" si="63"/>
        <v>0</v>
      </c>
    </row>
    <row r="196" spans="1:20" ht="82.5" customHeight="1">
      <c r="A196" s="949"/>
      <c r="B196" s="568">
        <v>81</v>
      </c>
      <c r="C196" s="959" t="s">
        <v>567</v>
      </c>
      <c r="D196" s="960"/>
      <c r="E196" s="419" t="s">
        <v>400</v>
      </c>
      <c r="F196" s="447">
        <v>1</v>
      </c>
      <c r="G196" s="423">
        <v>0</v>
      </c>
      <c r="H196" s="424">
        <v>1</v>
      </c>
      <c r="I196" s="437">
        <v>0</v>
      </c>
      <c r="J196" s="426">
        <v>0</v>
      </c>
      <c r="K196" s="427">
        <v>0</v>
      </c>
      <c r="L196" s="420">
        <v>1</v>
      </c>
      <c r="M196" s="438">
        <v>0</v>
      </c>
      <c r="N196" s="429">
        <v>0</v>
      </c>
      <c r="O196" s="441">
        <v>0</v>
      </c>
      <c r="P196" s="439">
        <v>0</v>
      </c>
      <c r="Q196" s="432">
        <v>0</v>
      </c>
      <c r="R196" s="433">
        <v>0</v>
      </c>
      <c r="S196" s="434">
        <v>0</v>
      </c>
      <c r="T196" s="445">
        <v>1</v>
      </c>
    </row>
    <row r="197" spans="1:20">
      <c r="A197" s="949"/>
      <c r="B197" s="953" t="s">
        <v>509</v>
      </c>
      <c r="C197" s="954"/>
      <c r="D197" s="954"/>
      <c r="E197" s="955"/>
      <c r="F197" s="419">
        <v>20</v>
      </c>
      <c r="G197" s="419"/>
      <c r="H197" s="419">
        <v>20</v>
      </c>
      <c r="I197" s="419"/>
      <c r="J197" s="419"/>
      <c r="K197" s="419"/>
      <c r="L197" s="419">
        <v>20</v>
      </c>
      <c r="M197" s="419"/>
      <c r="N197" s="419"/>
      <c r="O197" s="419"/>
      <c r="P197" s="419"/>
      <c r="Q197" s="419"/>
      <c r="R197" s="419"/>
      <c r="S197" s="419"/>
      <c r="T197" s="419">
        <v>20</v>
      </c>
    </row>
    <row r="198" spans="1:20">
      <c r="A198" s="949"/>
      <c r="B198" s="953" t="s">
        <v>510</v>
      </c>
      <c r="C198" s="954"/>
      <c r="D198" s="954"/>
      <c r="E198" s="955"/>
      <c r="F198" s="447">
        <f>F197*F196</f>
        <v>20</v>
      </c>
      <c r="G198" s="518">
        <f>G197*G196</f>
        <v>0</v>
      </c>
      <c r="H198" s="518">
        <f t="shared" ref="H198:T198" si="64">H197*H196</f>
        <v>20</v>
      </c>
      <c r="I198" s="518">
        <f t="shared" si="64"/>
        <v>0</v>
      </c>
      <c r="J198" s="518">
        <f t="shared" si="64"/>
        <v>0</v>
      </c>
      <c r="K198" s="518">
        <f t="shared" si="64"/>
        <v>0</v>
      </c>
      <c r="L198" s="518">
        <f t="shared" si="64"/>
        <v>20</v>
      </c>
      <c r="M198" s="518">
        <f t="shared" si="64"/>
        <v>0</v>
      </c>
      <c r="N198" s="518">
        <f t="shared" si="64"/>
        <v>0</v>
      </c>
      <c r="O198" s="518">
        <f t="shared" si="64"/>
        <v>0</v>
      </c>
      <c r="P198" s="518">
        <f t="shared" si="64"/>
        <v>0</v>
      </c>
      <c r="Q198" s="518">
        <f t="shared" si="64"/>
        <v>0</v>
      </c>
      <c r="R198" s="518">
        <f t="shared" si="64"/>
        <v>0</v>
      </c>
      <c r="S198" s="518">
        <f t="shared" si="64"/>
        <v>0</v>
      </c>
      <c r="T198" s="518">
        <f t="shared" si="64"/>
        <v>20</v>
      </c>
    </row>
    <row r="199" spans="1:20" ht="113.25" customHeight="1">
      <c r="A199" s="949"/>
      <c r="B199" s="568">
        <v>82</v>
      </c>
      <c r="C199" s="959" t="s">
        <v>566</v>
      </c>
      <c r="D199" s="960"/>
      <c r="E199" s="419" t="s">
        <v>400</v>
      </c>
      <c r="F199" s="436">
        <v>0</v>
      </c>
      <c r="G199" s="423">
        <v>0</v>
      </c>
      <c r="H199" s="424">
        <v>1</v>
      </c>
      <c r="I199" s="437">
        <v>0</v>
      </c>
      <c r="J199" s="426">
        <v>0</v>
      </c>
      <c r="K199" s="427">
        <v>0</v>
      </c>
      <c r="L199" s="421">
        <v>0</v>
      </c>
      <c r="M199" s="438">
        <v>0</v>
      </c>
      <c r="N199" s="429">
        <v>0</v>
      </c>
      <c r="O199" s="441">
        <v>0</v>
      </c>
      <c r="P199" s="439">
        <v>0</v>
      </c>
      <c r="Q199" s="432">
        <v>0</v>
      </c>
      <c r="R199" s="433">
        <v>0</v>
      </c>
      <c r="S199" s="434">
        <v>0</v>
      </c>
      <c r="T199" s="435">
        <v>0</v>
      </c>
    </row>
    <row r="200" spans="1:20">
      <c r="A200" s="949"/>
      <c r="B200" s="953" t="s">
        <v>509</v>
      </c>
      <c r="C200" s="954"/>
      <c r="D200" s="954"/>
      <c r="E200" s="955"/>
      <c r="F200" s="419"/>
      <c r="G200" s="419"/>
      <c r="H200" s="419">
        <v>38</v>
      </c>
      <c r="I200" s="419"/>
      <c r="J200" s="419"/>
      <c r="K200" s="419"/>
      <c r="L200" s="419"/>
      <c r="M200" s="419"/>
      <c r="N200" s="419"/>
      <c r="O200" s="419"/>
      <c r="P200" s="419"/>
      <c r="Q200" s="419"/>
      <c r="R200" s="419"/>
      <c r="S200" s="419"/>
      <c r="T200" s="419"/>
    </row>
    <row r="201" spans="1:20">
      <c r="A201" s="949"/>
      <c r="B201" s="953" t="s">
        <v>510</v>
      </c>
      <c r="C201" s="954"/>
      <c r="D201" s="954"/>
      <c r="E201" s="955"/>
      <c r="F201" s="447">
        <f>F200*F199</f>
        <v>0</v>
      </c>
      <c r="G201" s="518">
        <f>G200*G199</f>
        <v>0</v>
      </c>
      <c r="H201" s="518">
        <f t="shared" ref="H201:T201" si="65">H200*H199</f>
        <v>38</v>
      </c>
      <c r="I201" s="518">
        <f t="shared" si="65"/>
        <v>0</v>
      </c>
      <c r="J201" s="518">
        <f t="shared" si="65"/>
        <v>0</v>
      </c>
      <c r="K201" s="518">
        <f t="shared" si="65"/>
        <v>0</v>
      </c>
      <c r="L201" s="518">
        <f t="shared" si="65"/>
        <v>0</v>
      </c>
      <c r="M201" s="518">
        <f t="shared" si="65"/>
        <v>0</v>
      </c>
      <c r="N201" s="518">
        <f t="shared" si="65"/>
        <v>0</v>
      </c>
      <c r="O201" s="518">
        <f t="shared" si="65"/>
        <v>0</v>
      </c>
      <c r="P201" s="518">
        <f t="shared" si="65"/>
        <v>0</v>
      </c>
      <c r="Q201" s="518">
        <f t="shared" si="65"/>
        <v>0</v>
      </c>
      <c r="R201" s="518">
        <f t="shared" si="65"/>
        <v>0</v>
      </c>
      <c r="S201" s="518">
        <f t="shared" si="65"/>
        <v>0</v>
      </c>
      <c r="T201" s="518">
        <f t="shared" si="65"/>
        <v>0</v>
      </c>
    </row>
    <row r="202" spans="1:20" ht="75.75" customHeight="1">
      <c r="A202" s="949"/>
      <c r="B202" s="568">
        <v>83</v>
      </c>
      <c r="C202" s="959" t="s">
        <v>565</v>
      </c>
      <c r="D202" s="960"/>
      <c r="E202" s="419" t="s">
        <v>400</v>
      </c>
      <c r="F202" s="447">
        <v>1</v>
      </c>
      <c r="G202" s="442">
        <v>1</v>
      </c>
      <c r="H202" s="424">
        <v>1</v>
      </c>
      <c r="I202" s="425">
        <v>1</v>
      </c>
      <c r="J202" s="519">
        <v>1</v>
      </c>
      <c r="K202" s="520">
        <v>1</v>
      </c>
      <c r="L202" s="420">
        <v>1</v>
      </c>
      <c r="M202" s="428">
        <v>1</v>
      </c>
      <c r="N202" s="521">
        <v>1</v>
      </c>
      <c r="O202" s="430">
        <v>1</v>
      </c>
      <c r="P202" s="431">
        <v>1</v>
      </c>
      <c r="Q202" s="448">
        <v>1</v>
      </c>
      <c r="R202" s="443">
        <v>1</v>
      </c>
      <c r="S202" s="444">
        <v>1</v>
      </c>
      <c r="T202" s="445">
        <v>1</v>
      </c>
    </row>
    <row r="203" spans="1:20">
      <c r="A203" s="949"/>
      <c r="B203" s="953" t="s">
        <v>509</v>
      </c>
      <c r="C203" s="954"/>
      <c r="D203" s="954"/>
      <c r="E203" s="955"/>
      <c r="F203" s="419">
        <v>19</v>
      </c>
      <c r="G203" s="419">
        <v>19</v>
      </c>
      <c r="H203" s="419">
        <v>19</v>
      </c>
      <c r="I203" s="419">
        <v>19</v>
      </c>
      <c r="J203" s="419">
        <v>19</v>
      </c>
      <c r="K203" s="419">
        <v>19</v>
      </c>
      <c r="L203" s="419">
        <v>19</v>
      </c>
      <c r="M203" s="419">
        <v>19</v>
      </c>
      <c r="N203" s="419">
        <v>19</v>
      </c>
      <c r="O203" s="419">
        <v>19</v>
      </c>
      <c r="P203" s="419">
        <v>19</v>
      </c>
      <c r="Q203" s="419">
        <v>19</v>
      </c>
      <c r="R203" s="419">
        <v>19</v>
      </c>
      <c r="S203" s="419">
        <v>19</v>
      </c>
      <c r="T203" s="419">
        <v>19</v>
      </c>
    </row>
    <row r="204" spans="1:20">
      <c r="A204" s="949"/>
      <c r="B204" s="953" t="s">
        <v>510</v>
      </c>
      <c r="C204" s="954"/>
      <c r="D204" s="954"/>
      <c r="E204" s="955"/>
      <c r="F204" s="447">
        <f>F203*F202</f>
        <v>19</v>
      </c>
      <c r="G204" s="518">
        <f>G203*G202</f>
        <v>19</v>
      </c>
      <c r="H204" s="518">
        <f t="shared" ref="H204:T204" si="66">H203*H202</f>
        <v>19</v>
      </c>
      <c r="I204" s="518">
        <f t="shared" si="66"/>
        <v>19</v>
      </c>
      <c r="J204" s="518">
        <f t="shared" si="66"/>
        <v>19</v>
      </c>
      <c r="K204" s="518">
        <f t="shared" si="66"/>
        <v>19</v>
      </c>
      <c r="L204" s="518">
        <f t="shared" si="66"/>
        <v>19</v>
      </c>
      <c r="M204" s="518">
        <f t="shared" si="66"/>
        <v>19</v>
      </c>
      <c r="N204" s="518">
        <f t="shared" si="66"/>
        <v>19</v>
      </c>
      <c r="O204" s="518">
        <f t="shared" si="66"/>
        <v>19</v>
      </c>
      <c r="P204" s="518">
        <f t="shared" si="66"/>
        <v>19</v>
      </c>
      <c r="Q204" s="518">
        <f t="shared" si="66"/>
        <v>19</v>
      </c>
      <c r="R204" s="518">
        <f t="shared" si="66"/>
        <v>19</v>
      </c>
      <c r="S204" s="518">
        <f t="shared" si="66"/>
        <v>19</v>
      </c>
      <c r="T204" s="518">
        <f t="shared" si="66"/>
        <v>19</v>
      </c>
    </row>
    <row r="205" spans="1:20" ht="81" customHeight="1">
      <c r="A205" s="949"/>
      <c r="B205" s="568">
        <v>84</v>
      </c>
      <c r="C205" s="959" t="s">
        <v>649</v>
      </c>
      <c r="D205" s="960"/>
      <c r="E205" s="419" t="s">
        <v>400</v>
      </c>
      <c r="F205" s="436">
        <v>0</v>
      </c>
      <c r="G205" s="423">
        <v>0</v>
      </c>
      <c r="H205" s="440">
        <v>0</v>
      </c>
      <c r="I205" s="437">
        <v>0</v>
      </c>
      <c r="J205" s="426">
        <v>0</v>
      </c>
      <c r="K205" s="427">
        <v>0</v>
      </c>
      <c r="L205" s="421">
        <v>0</v>
      </c>
      <c r="M205" s="438">
        <v>0</v>
      </c>
      <c r="N205" s="429">
        <v>0</v>
      </c>
      <c r="O205" s="441">
        <v>0</v>
      </c>
      <c r="P205" s="439">
        <v>0</v>
      </c>
      <c r="Q205" s="432">
        <v>0</v>
      </c>
      <c r="R205" s="433">
        <v>0</v>
      </c>
      <c r="S205" s="434">
        <v>0</v>
      </c>
      <c r="T205" s="435">
        <v>0</v>
      </c>
    </row>
    <row r="206" spans="1:20">
      <c r="A206" s="949"/>
      <c r="B206" s="953" t="s">
        <v>509</v>
      </c>
      <c r="C206" s="954"/>
      <c r="D206" s="954"/>
      <c r="E206" s="955"/>
      <c r="F206" s="419"/>
      <c r="G206" s="419"/>
      <c r="H206" s="419"/>
      <c r="I206" s="419"/>
      <c r="J206" s="419"/>
      <c r="K206" s="419"/>
      <c r="L206" s="419"/>
      <c r="M206" s="419"/>
      <c r="N206" s="419"/>
      <c r="O206" s="419"/>
      <c r="P206" s="419"/>
      <c r="Q206" s="419"/>
      <c r="R206" s="419"/>
      <c r="S206" s="419"/>
      <c r="T206" s="419"/>
    </row>
    <row r="207" spans="1:20">
      <c r="A207" s="949"/>
      <c r="B207" s="953" t="s">
        <v>510</v>
      </c>
      <c r="C207" s="954"/>
      <c r="D207" s="954"/>
      <c r="E207" s="955"/>
      <c r="F207" s="447">
        <f>F206*F205</f>
        <v>0</v>
      </c>
      <c r="G207" s="518">
        <f>G206*G205</f>
        <v>0</v>
      </c>
      <c r="H207" s="518">
        <f t="shared" ref="H207:T207" si="67">H206*H205</f>
        <v>0</v>
      </c>
      <c r="I207" s="518">
        <f t="shared" si="67"/>
        <v>0</v>
      </c>
      <c r="J207" s="518">
        <f t="shared" si="67"/>
        <v>0</v>
      </c>
      <c r="K207" s="518">
        <f t="shared" si="67"/>
        <v>0</v>
      </c>
      <c r="L207" s="518">
        <f t="shared" si="67"/>
        <v>0</v>
      </c>
      <c r="M207" s="518">
        <f t="shared" si="67"/>
        <v>0</v>
      </c>
      <c r="N207" s="518">
        <f t="shared" si="67"/>
        <v>0</v>
      </c>
      <c r="O207" s="518">
        <f t="shared" si="67"/>
        <v>0</v>
      </c>
      <c r="P207" s="518">
        <f t="shared" si="67"/>
        <v>0</v>
      </c>
      <c r="Q207" s="518">
        <f t="shared" si="67"/>
        <v>0</v>
      </c>
      <c r="R207" s="518">
        <f t="shared" si="67"/>
        <v>0</v>
      </c>
      <c r="S207" s="518">
        <f t="shared" si="67"/>
        <v>0</v>
      </c>
      <c r="T207" s="518">
        <f t="shared" si="67"/>
        <v>0</v>
      </c>
    </row>
    <row r="208" spans="1:20" ht="87" customHeight="1">
      <c r="A208" s="949"/>
      <c r="B208" s="568">
        <v>85</v>
      </c>
      <c r="C208" s="959" t="s">
        <v>650</v>
      </c>
      <c r="D208" s="960"/>
      <c r="E208" s="419" t="s">
        <v>400</v>
      </c>
      <c r="F208" s="436">
        <v>0</v>
      </c>
      <c r="G208" s="423">
        <v>0</v>
      </c>
      <c r="H208" s="424">
        <v>1</v>
      </c>
      <c r="I208" s="437">
        <v>0</v>
      </c>
      <c r="J208" s="426">
        <v>0</v>
      </c>
      <c r="K208" s="427">
        <v>0</v>
      </c>
      <c r="L208" s="421">
        <v>0</v>
      </c>
      <c r="M208" s="428">
        <v>1</v>
      </c>
      <c r="N208" s="429">
        <v>0</v>
      </c>
      <c r="O208" s="441">
        <v>0</v>
      </c>
      <c r="P208" s="439">
        <v>0</v>
      </c>
      <c r="Q208" s="432">
        <v>0</v>
      </c>
      <c r="R208" s="433">
        <v>0</v>
      </c>
      <c r="S208" s="434">
        <v>0</v>
      </c>
      <c r="T208" s="435">
        <v>0</v>
      </c>
    </row>
    <row r="209" spans="1:20">
      <c r="A209" s="949"/>
      <c r="B209" s="953" t="s">
        <v>509</v>
      </c>
      <c r="C209" s="954"/>
      <c r="D209" s="954"/>
      <c r="E209" s="955"/>
      <c r="F209" s="419"/>
      <c r="G209" s="419"/>
      <c r="H209" s="419">
        <v>48</v>
      </c>
      <c r="I209" s="419"/>
      <c r="J209" s="419"/>
      <c r="K209" s="419"/>
      <c r="L209" s="419"/>
      <c r="M209" s="419">
        <v>48</v>
      </c>
      <c r="N209" s="419"/>
      <c r="O209" s="419"/>
      <c r="P209" s="419"/>
      <c r="Q209" s="419"/>
      <c r="R209" s="419"/>
      <c r="S209" s="419"/>
      <c r="T209" s="419"/>
    </row>
    <row r="210" spans="1:20">
      <c r="A210" s="949"/>
      <c r="B210" s="953" t="s">
        <v>510</v>
      </c>
      <c r="C210" s="954"/>
      <c r="D210" s="954"/>
      <c r="E210" s="955"/>
      <c r="F210" s="447">
        <f>F209*F208</f>
        <v>0</v>
      </c>
      <c r="G210" s="518">
        <f>G209*G208</f>
        <v>0</v>
      </c>
      <c r="H210" s="518">
        <f t="shared" ref="H210:T210" si="68">H209*H208</f>
        <v>48</v>
      </c>
      <c r="I210" s="518">
        <f t="shared" si="68"/>
        <v>0</v>
      </c>
      <c r="J210" s="518">
        <f t="shared" si="68"/>
        <v>0</v>
      </c>
      <c r="K210" s="518">
        <f t="shared" si="68"/>
        <v>0</v>
      </c>
      <c r="L210" s="518">
        <f t="shared" si="68"/>
        <v>0</v>
      </c>
      <c r="M210" s="518">
        <f t="shared" si="68"/>
        <v>48</v>
      </c>
      <c r="N210" s="518">
        <f t="shared" si="68"/>
        <v>0</v>
      </c>
      <c r="O210" s="518">
        <f t="shared" si="68"/>
        <v>0</v>
      </c>
      <c r="P210" s="518">
        <f t="shared" si="68"/>
        <v>0</v>
      </c>
      <c r="Q210" s="518">
        <f t="shared" si="68"/>
        <v>0</v>
      </c>
      <c r="R210" s="518">
        <f t="shared" si="68"/>
        <v>0</v>
      </c>
      <c r="S210" s="518">
        <f t="shared" si="68"/>
        <v>0</v>
      </c>
      <c r="T210" s="518">
        <f t="shared" si="68"/>
        <v>0</v>
      </c>
    </row>
    <row r="211" spans="1:20" s="304" customFormat="1" ht="75" customHeight="1">
      <c r="A211" s="949"/>
      <c r="B211" s="568">
        <v>86</v>
      </c>
      <c r="C211" s="959" t="s">
        <v>662</v>
      </c>
      <c r="D211" s="960"/>
      <c r="E211" s="419" t="s">
        <v>400</v>
      </c>
      <c r="F211" s="436">
        <v>0</v>
      </c>
      <c r="G211" s="423">
        <v>0</v>
      </c>
      <c r="H211" s="588">
        <v>0</v>
      </c>
      <c r="I211" s="437">
        <v>0</v>
      </c>
      <c r="J211" s="426">
        <v>0</v>
      </c>
      <c r="K211" s="427">
        <v>0</v>
      </c>
      <c r="L211" s="421">
        <v>0</v>
      </c>
      <c r="M211" s="593">
        <v>0</v>
      </c>
      <c r="N211" s="429">
        <v>0</v>
      </c>
      <c r="O211" s="441">
        <v>0</v>
      </c>
      <c r="P211" s="439">
        <v>0</v>
      </c>
      <c r="Q211" s="432">
        <v>0</v>
      </c>
      <c r="R211" s="433">
        <v>0</v>
      </c>
      <c r="S211" s="434">
        <v>0</v>
      </c>
      <c r="T211" s="435">
        <v>0</v>
      </c>
    </row>
    <row r="212" spans="1:20" s="304" customFormat="1">
      <c r="A212" s="949"/>
      <c r="B212" s="953" t="s">
        <v>509</v>
      </c>
      <c r="C212" s="954"/>
      <c r="D212" s="954"/>
      <c r="E212" s="955"/>
      <c r="F212" s="419"/>
      <c r="G212" s="419"/>
      <c r="H212" s="419"/>
      <c r="I212" s="419"/>
      <c r="J212" s="419"/>
      <c r="K212" s="419"/>
      <c r="L212" s="419"/>
      <c r="M212" s="419"/>
      <c r="N212" s="419"/>
      <c r="O212" s="419"/>
      <c r="P212" s="419"/>
      <c r="Q212" s="419"/>
      <c r="R212" s="419"/>
      <c r="S212" s="419"/>
      <c r="T212" s="419"/>
    </row>
    <row r="213" spans="1:20" s="304" customFormat="1">
      <c r="A213" s="949"/>
      <c r="B213" s="953" t="s">
        <v>510</v>
      </c>
      <c r="C213" s="954"/>
      <c r="D213" s="954"/>
      <c r="E213" s="955"/>
      <c r="F213" s="447">
        <f>F212*F211</f>
        <v>0</v>
      </c>
      <c r="G213" s="518">
        <f>G212*G211</f>
        <v>0</v>
      </c>
      <c r="H213" s="518">
        <f t="shared" ref="H213:T213" si="69">H212*H211</f>
        <v>0</v>
      </c>
      <c r="I213" s="518">
        <f t="shared" si="69"/>
        <v>0</v>
      </c>
      <c r="J213" s="518">
        <f t="shared" si="69"/>
        <v>0</v>
      </c>
      <c r="K213" s="518">
        <f t="shared" si="69"/>
        <v>0</v>
      </c>
      <c r="L213" s="518">
        <f t="shared" si="69"/>
        <v>0</v>
      </c>
      <c r="M213" s="518">
        <f t="shared" si="69"/>
        <v>0</v>
      </c>
      <c r="N213" s="518">
        <f t="shared" si="69"/>
        <v>0</v>
      </c>
      <c r="O213" s="518">
        <f t="shared" si="69"/>
        <v>0</v>
      </c>
      <c r="P213" s="518">
        <f t="shared" si="69"/>
        <v>0</v>
      </c>
      <c r="Q213" s="518">
        <f t="shared" si="69"/>
        <v>0</v>
      </c>
      <c r="R213" s="518">
        <f t="shared" si="69"/>
        <v>0</v>
      </c>
      <c r="S213" s="518">
        <f t="shared" si="69"/>
        <v>0</v>
      </c>
      <c r="T213" s="518">
        <f t="shared" si="69"/>
        <v>0</v>
      </c>
    </row>
    <row r="214" spans="1:20" ht="59.25" customHeight="1">
      <c r="A214" s="949"/>
      <c r="B214" s="568">
        <v>87</v>
      </c>
      <c r="C214" s="959" t="s">
        <v>564</v>
      </c>
      <c r="D214" s="960"/>
      <c r="E214" s="419" t="s">
        <v>400</v>
      </c>
      <c r="F214" s="436">
        <v>0</v>
      </c>
      <c r="G214" s="423">
        <v>0</v>
      </c>
      <c r="H214" s="440">
        <v>0</v>
      </c>
      <c r="I214" s="437">
        <v>0</v>
      </c>
      <c r="J214" s="426">
        <v>0</v>
      </c>
      <c r="K214" s="427">
        <v>0</v>
      </c>
      <c r="L214" s="421">
        <v>0</v>
      </c>
      <c r="M214" s="438">
        <v>0</v>
      </c>
      <c r="N214" s="429">
        <v>0</v>
      </c>
      <c r="O214" s="441">
        <v>0</v>
      </c>
      <c r="P214" s="439">
        <v>0</v>
      </c>
      <c r="Q214" s="432">
        <v>0</v>
      </c>
      <c r="R214" s="433">
        <v>0</v>
      </c>
      <c r="S214" s="434">
        <v>0</v>
      </c>
      <c r="T214" s="435">
        <v>0</v>
      </c>
    </row>
    <row r="215" spans="1:20">
      <c r="A215" s="949"/>
      <c r="B215" s="953" t="s">
        <v>509</v>
      </c>
      <c r="C215" s="954"/>
      <c r="D215" s="954"/>
      <c r="E215" s="955"/>
      <c r="F215" s="419"/>
      <c r="G215" s="419"/>
      <c r="H215" s="419"/>
      <c r="I215" s="419"/>
      <c r="J215" s="419"/>
      <c r="K215" s="419"/>
      <c r="L215" s="419"/>
      <c r="M215" s="419"/>
      <c r="N215" s="419"/>
      <c r="O215" s="419"/>
      <c r="P215" s="419"/>
      <c r="Q215" s="419"/>
      <c r="R215" s="419"/>
      <c r="S215" s="419"/>
      <c r="T215" s="419"/>
    </row>
    <row r="216" spans="1:20">
      <c r="A216" s="949"/>
      <c r="B216" s="953" t="s">
        <v>510</v>
      </c>
      <c r="C216" s="954"/>
      <c r="D216" s="954"/>
      <c r="E216" s="955"/>
      <c r="F216" s="447">
        <f>F215*F214</f>
        <v>0</v>
      </c>
      <c r="G216" s="518">
        <f>G215*G214</f>
        <v>0</v>
      </c>
      <c r="H216" s="518">
        <f t="shared" ref="H216:T216" si="70">H215*H214</f>
        <v>0</v>
      </c>
      <c r="I216" s="518">
        <f t="shared" si="70"/>
        <v>0</v>
      </c>
      <c r="J216" s="518">
        <f t="shared" si="70"/>
        <v>0</v>
      </c>
      <c r="K216" s="518">
        <f t="shared" si="70"/>
        <v>0</v>
      </c>
      <c r="L216" s="518">
        <f t="shared" si="70"/>
        <v>0</v>
      </c>
      <c r="M216" s="518">
        <f t="shared" si="70"/>
        <v>0</v>
      </c>
      <c r="N216" s="518">
        <f t="shared" si="70"/>
        <v>0</v>
      </c>
      <c r="O216" s="518">
        <f t="shared" si="70"/>
        <v>0</v>
      </c>
      <c r="P216" s="518">
        <f t="shared" si="70"/>
        <v>0</v>
      </c>
      <c r="Q216" s="518">
        <f t="shared" si="70"/>
        <v>0</v>
      </c>
      <c r="R216" s="518">
        <f t="shared" si="70"/>
        <v>0</v>
      </c>
      <c r="S216" s="518">
        <f t="shared" si="70"/>
        <v>0</v>
      </c>
      <c r="T216" s="518">
        <f t="shared" si="70"/>
        <v>0</v>
      </c>
    </row>
    <row r="217" spans="1:20" ht="64.5" customHeight="1">
      <c r="A217" s="949"/>
      <c r="B217" s="568">
        <v>88</v>
      </c>
      <c r="C217" s="959" t="s">
        <v>560</v>
      </c>
      <c r="D217" s="960"/>
      <c r="E217" s="419" t="s">
        <v>400</v>
      </c>
      <c r="F217" s="436">
        <v>0</v>
      </c>
      <c r="G217" s="423">
        <v>0</v>
      </c>
      <c r="H217" s="424">
        <v>1</v>
      </c>
      <c r="I217" s="437">
        <v>0</v>
      </c>
      <c r="J217" s="426">
        <v>0</v>
      </c>
      <c r="K217" s="427">
        <v>0</v>
      </c>
      <c r="L217" s="420">
        <v>1</v>
      </c>
      <c r="M217" s="428">
        <v>1</v>
      </c>
      <c r="N217" s="429">
        <v>0</v>
      </c>
      <c r="O217" s="441">
        <v>0</v>
      </c>
      <c r="P217" s="439">
        <v>0</v>
      </c>
      <c r="Q217" s="432">
        <v>0</v>
      </c>
      <c r="R217" s="433">
        <v>0</v>
      </c>
      <c r="S217" s="434">
        <v>0</v>
      </c>
      <c r="T217" s="435">
        <v>0</v>
      </c>
    </row>
    <row r="218" spans="1:20">
      <c r="A218" s="949"/>
      <c r="B218" s="953" t="s">
        <v>509</v>
      </c>
      <c r="C218" s="954"/>
      <c r="D218" s="954"/>
      <c r="E218" s="955"/>
      <c r="F218" s="419"/>
      <c r="G218" s="419"/>
      <c r="H218" s="419">
        <v>18</v>
      </c>
      <c r="I218" s="419"/>
      <c r="J218" s="419"/>
      <c r="K218" s="419"/>
      <c r="L218" s="419">
        <v>18</v>
      </c>
      <c r="M218" s="419">
        <v>18</v>
      </c>
      <c r="N218" s="419"/>
      <c r="O218" s="419"/>
      <c r="P218" s="419"/>
      <c r="Q218" s="419"/>
      <c r="R218" s="419"/>
      <c r="S218" s="419"/>
      <c r="T218" s="419"/>
    </row>
    <row r="219" spans="1:20" ht="22.5" customHeight="1">
      <c r="A219" s="949"/>
      <c r="B219" s="953" t="s">
        <v>510</v>
      </c>
      <c r="C219" s="954"/>
      <c r="D219" s="954"/>
      <c r="E219" s="955"/>
      <c r="F219" s="447">
        <f>F218*F217</f>
        <v>0</v>
      </c>
      <c r="G219" s="518">
        <f>G218*G217</f>
        <v>0</v>
      </c>
      <c r="H219" s="518">
        <f t="shared" ref="H219:T219" si="71">H218*H217</f>
        <v>18</v>
      </c>
      <c r="I219" s="518">
        <f t="shared" si="71"/>
        <v>0</v>
      </c>
      <c r="J219" s="518">
        <f t="shared" si="71"/>
        <v>0</v>
      </c>
      <c r="K219" s="518">
        <f t="shared" si="71"/>
        <v>0</v>
      </c>
      <c r="L219" s="518">
        <f t="shared" si="71"/>
        <v>18</v>
      </c>
      <c r="M219" s="518">
        <f t="shared" si="71"/>
        <v>18</v>
      </c>
      <c r="N219" s="518">
        <f t="shared" si="71"/>
        <v>0</v>
      </c>
      <c r="O219" s="518">
        <f t="shared" si="71"/>
        <v>0</v>
      </c>
      <c r="P219" s="518">
        <f t="shared" si="71"/>
        <v>0</v>
      </c>
      <c r="Q219" s="518">
        <f t="shared" si="71"/>
        <v>0</v>
      </c>
      <c r="R219" s="518">
        <f t="shared" si="71"/>
        <v>0</v>
      </c>
      <c r="S219" s="518">
        <f t="shared" si="71"/>
        <v>0</v>
      </c>
      <c r="T219" s="518">
        <f t="shared" si="71"/>
        <v>0</v>
      </c>
    </row>
    <row r="220" spans="1:20" ht="306.75" customHeight="1">
      <c r="A220" s="950"/>
      <c r="B220" s="568">
        <v>89</v>
      </c>
      <c r="C220" s="959" t="s">
        <v>651</v>
      </c>
      <c r="D220" s="960"/>
      <c r="E220" s="419" t="s">
        <v>400</v>
      </c>
      <c r="F220" s="422">
        <v>1</v>
      </c>
      <c r="G220" s="423">
        <v>0</v>
      </c>
      <c r="H220" s="424">
        <v>1</v>
      </c>
      <c r="I220" s="425">
        <v>1</v>
      </c>
      <c r="J220" s="519">
        <v>1</v>
      </c>
      <c r="K220" s="525">
        <v>1</v>
      </c>
      <c r="L220" s="420">
        <v>1</v>
      </c>
      <c r="M220" s="428">
        <v>1</v>
      </c>
      <c r="N220" s="521">
        <v>1</v>
      </c>
      <c r="O220" s="430">
        <v>1</v>
      </c>
      <c r="P220" s="431">
        <v>1</v>
      </c>
      <c r="Q220" s="448">
        <v>1</v>
      </c>
      <c r="R220" s="443">
        <v>1</v>
      </c>
      <c r="S220" s="444">
        <v>1</v>
      </c>
      <c r="T220" s="445">
        <v>1</v>
      </c>
    </row>
    <row r="221" spans="1:20">
      <c r="A221" s="464"/>
      <c r="B221" s="953" t="s">
        <v>509</v>
      </c>
      <c r="C221" s="954"/>
      <c r="D221" s="954"/>
      <c r="E221" s="955"/>
      <c r="F221" s="419">
        <v>16</v>
      </c>
      <c r="G221" s="419"/>
      <c r="H221" s="419">
        <v>16</v>
      </c>
      <c r="I221" s="419">
        <v>16</v>
      </c>
      <c r="J221" s="419">
        <v>16</v>
      </c>
      <c r="K221" s="419">
        <v>16</v>
      </c>
      <c r="L221" s="419">
        <v>16</v>
      </c>
      <c r="M221" s="419">
        <v>16</v>
      </c>
      <c r="N221" s="419">
        <v>16</v>
      </c>
      <c r="O221" s="419">
        <v>16</v>
      </c>
      <c r="P221" s="419">
        <v>16</v>
      </c>
      <c r="Q221" s="419">
        <v>16</v>
      </c>
      <c r="R221" s="419">
        <v>16</v>
      </c>
      <c r="S221" s="419">
        <v>16</v>
      </c>
      <c r="T221" s="419">
        <v>16</v>
      </c>
    </row>
    <row r="222" spans="1:20" ht="15.75" thickBot="1">
      <c r="A222" s="464"/>
      <c r="B222" s="956" t="s">
        <v>510</v>
      </c>
      <c r="C222" s="957"/>
      <c r="D222" s="957"/>
      <c r="E222" s="958"/>
      <c r="F222" s="562">
        <f>F221*F220</f>
        <v>16</v>
      </c>
      <c r="G222" s="563">
        <f>G221*G220</f>
        <v>0</v>
      </c>
      <c r="H222" s="563">
        <f t="shared" ref="H222:T222" si="72">H221*H220</f>
        <v>16</v>
      </c>
      <c r="I222" s="563">
        <f t="shared" si="72"/>
        <v>16</v>
      </c>
      <c r="J222" s="563">
        <f t="shared" si="72"/>
        <v>16</v>
      </c>
      <c r="K222" s="563">
        <f t="shared" si="72"/>
        <v>16</v>
      </c>
      <c r="L222" s="563">
        <f t="shared" si="72"/>
        <v>16</v>
      </c>
      <c r="M222" s="563">
        <f t="shared" si="72"/>
        <v>16</v>
      </c>
      <c r="N222" s="563">
        <f t="shared" si="72"/>
        <v>16</v>
      </c>
      <c r="O222" s="563">
        <f t="shared" si="72"/>
        <v>16</v>
      </c>
      <c r="P222" s="563">
        <f t="shared" si="72"/>
        <v>16</v>
      </c>
      <c r="Q222" s="563">
        <f t="shared" si="72"/>
        <v>16</v>
      </c>
      <c r="R222" s="563">
        <f t="shared" si="72"/>
        <v>16</v>
      </c>
      <c r="S222" s="563">
        <f t="shared" si="72"/>
        <v>16</v>
      </c>
      <c r="T222" s="563">
        <f t="shared" si="72"/>
        <v>16</v>
      </c>
    </row>
    <row r="223" spans="1:20" ht="15.75" thickBot="1">
      <c r="A223" s="965" t="s">
        <v>472</v>
      </c>
      <c r="B223" s="966"/>
      <c r="C223" s="966"/>
      <c r="D223" s="966"/>
      <c r="E223" s="967"/>
      <c r="F223" s="564">
        <f t="shared" ref="F223:T223" si="73">F4+F7+F10+F13+F16+F19+F22+F25+F28+F31+F34+F37+F40+F43+F46+F49+F52+F55+F58+F61+F64+F67+F70+F73+F76+F79+F82+F85+F88+F91+F94+F97+F100+F103+F107+F114+F117+F120+F126+F129+F135+F138+F141+F144+F147+F150+F153+F156+F159+F162+F165+F168+F171++F174+F177+F180+F183+F186+F189+F192+F195+F198+F201+F204+F207+F210+F216+F219+F222</f>
        <v>2969</v>
      </c>
      <c r="G223" s="564">
        <f t="shared" si="73"/>
        <v>1353</v>
      </c>
      <c r="H223" s="564">
        <f t="shared" si="73"/>
        <v>5525</v>
      </c>
      <c r="I223" s="564">
        <f t="shared" si="73"/>
        <v>1560</v>
      </c>
      <c r="J223" s="564">
        <f t="shared" si="73"/>
        <v>2200</v>
      </c>
      <c r="K223" s="564">
        <f t="shared" si="73"/>
        <v>2200</v>
      </c>
      <c r="L223" s="564">
        <f t="shared" si="73"/>
        <v>14579</v>
      </c>
      <c r="M223" s="564">
        <f t="shared" si="73"/>
        <v>9551</v>
      </c>
      <c r="N223" s="564">
        <f t="shared" si="73"/>
        <v>2838</v>
      </c>
      <c r="O223" s="564">
        <f t="shared" si="73"/>
        <v>1764</v>
      </c>
      <c r="P223" s="564">
        <f t="shared" si="73"/>
        <v>3163</v>
      </c>
      <c r="Q223" s="564">
        <f t="shared" si="73"/>
        <v>3010</v>
      </c>
      <c r="R223" s="564">
        <f t="shared" si="73"/>
        <v>3049</v>
      </c>
      <c r="S223" s="564">
        <f t="shared" si="73"/>
        <v>3049</v>
      </c>
      <c r="T223" s="565">
        <f t="shared" si="73"/>
        <v>4904</v>
      </c>
    </row>
    <row r="224" spans="1:20" ht="15.75" thickBot="1">
      <c r="A224" s="945" t="s">
        <v>473</v>
      </c>
      <c r="B224" s="946"/>
      <c r="C224" s="946"/>
      <c r="D224" s="946"/>
      <c r="E224" s="947"/>
      <c r="F224" s="566">
        <f t="shared" ref="F224:T224" si="74">F223/12</f>
        <v>247.41666666666666</v>
      </c>
      <c r="G224" s="566">
        <f t="shared" si="74"/>
        <v>112.75</v>
      </c>
      <c r="H224" s="566">
        <f t="shared" si="74"/>
        <v>460.41666666666669</v>
      </c>
      <c r="I224" s="566">
        <f t="shared" si="74"/>
        <v>130</v>
      </c>
      <c r="J224" s="566">
        <f t="shared" si="74"/>
        <v>183.33333333333334</v>
      </c>
      <c r="K224" s="566">
        <f t="shared" si="74"/>
        <v>183.33333333333334</v>
      </c>
      <c r="L224" s="566">
        <f t="shared" si="74"/>
        <v>1214.9166666666667</v>
      </c>
      <c r="M224" s="566">
        <f t="shared" si="74"/>
        <v>795.91666666666663</v>
      </c>
      <c r="N224" s="566">
        <f t="shared" si="74"/>
        <v>236.5</v>
      </c>
      <c r="O224" s="566">
        <f t="shared" si="74"/>
        <v>147</v>
      </c>
      <c r="P224" s="566">
        <f t="shared" si="74"/>
        <v>263.58333333333331</v>
      </c>
      <c r="Q224" s="566">
        <f t="shared" si="74"/>
        <v>250.83333333333334</v>
      </c>
      <c r="R224" s="566">
        <f t="shared" si="74"/>
        <v>254.08333333333334</v>
      </c>
      <c r="S224" s="566">
        <f t="shared" si="74"/>
        <v>254.08333333333334</v>
      </c>
      <c r="T224" s="567">
        <f t="shared" si="74"/>
        <v>408.66666666666669</v>
      </c>
    </row>
  </sheetData>
  <mergeCells count="232">
    <mergeCell ref="A224:E224"/>
    <mergeCell ref="B218:E218"/>
    <mergeCell ref="B219:E219"/>
    <mergeCell ref="C220:D220"/>
    <mergeCell ref="B221:E221"/>
    <mergeCell ref="B222:E222"/>
    <mergeCell ref="A223:E223"/>
    <mergeCell ref="B209:E209"/>
    <mergeCell ref="B210:E210"/>
    <mergeCell ref="C214:D214"/>
    <mergeCell ref="B215:E215"/>
    <mergeCell ref="B216:E216"/>
    <mergeCell ref="C217:D217"/>
    <mergeCell ref="C211:D211"/>
    <mergeCell ref="B212:E212"/>
    <mergeCell ref="B213:E213"/>
    <mergeCell ref="C205:D205"/>
    <mergeCell ref="B206:E206"/>
    <mergeCell ref="B207:E207"/>
    <mergeCell ref="C208:D208"/>
    <mergeCell ref="B197:E197"/>
    <mergeCell ref="B198:E198"/>
    <mergeCell ref="C199:D199"/>
    <mergeCell ref="B200:E200"/>
    <mergeCell ref="B201:E201"/>
    <mergeCell ref="C202:D202"/>
    <mergeCell ref="B176:E176"/>
    <mergeCell ref="B177:E177"/>
    <mergeCell ref="A178:A220"/>
    <mergeCell ref="C178:D178"/>
    <mergeCell ref="B179:E179"/>
    <mergeCell ref="B180:E180"/>
    <mergeCell ref="C181:D181"/>
    <mergeCell ref="B182:E182"/>
    <mergeCell ref="B183:E183"/>
    <mergeCell ref="C184:D184"/>
    <mergeCell ref="B191:E191"/>
    <mergeCell ref="B192:E192"/>
    <mergeCell ref="C193:D193"/>
    <mergeCell ref="B194:E194"/>
    <mergeCell ref="B195:E195"/>
    <mergeCell ref="C196:D196"/>
    <mergeCell ref="B185:E185"/>
    <mergeCell ref="B186:E186"/>
    <mergeCell ref="C187:D187"/>
    <mergeCell ref="B188:E188"/>
    <mergeCell ref="B189:E189"/>
    <mergeCell ref="C190:D190"/>
    <mergeCell ref="B203:E203"/>
    <mergeCell ref="B204:E204"/>
    <mergeCell ref="B167:E167"/>
    <mergeCell ref="B168:E168"/>
    <mergeCell ref="C169:D169"/>
    <mergeCell ref="B170:E170"/>
    <mergeCell ref="B171:E171"/>
    <mergeCell ref="A172:A175"/>
    <mergeCell ref="C172:D172"/>
    <mergeCell ref="B173:E173"/>
    <mergeCell ref="B174:E174"/>
    <mergeCell ref="C175:D175"/>
    <mergeCell ref="A145:A169"/>
    <mergeCell ref="B161:E161"/>
    <mergeCell ref="B162:E162"/>
    <mergeCell ref="C163:D163"/>
    <mergeCell ref="B164:E164"/>
    <mergeCell ref="B165:E165"/>
    <mergeCell ref="C166:D166"/>
    <mergeCell ref="B155:E155"/>
    <mergeCell ref="B156:E156"/>
    <mergeCell ref="C157:D157"/>
    <mergeCell ref="B158:E158"/>
    <mergeCell ref="B159:E159"/>
    <mergeCell ref="C160:D160"/>
    <mergeCell ref="B149:E149"/>
    <mergeCell ref="B150:E150"/>
    <mergeCell ref="C151:D151"/>
    <mergeCell ref="B152:E152"/>
    <mergeCell ref="B153:E153"/>
    <mergeCell ref="C154:D154"/>
    <mergeCell ref="B140:E140"/>
    <mergeCell ref="B141:E141"/>
    <mergeCell ref="C142:D142"/>
    <mergeCell ref="B143:E143"/>
    <mergeCell ref="B144:E144"/>
    <mergeCell ref="C145:D145"/>
    <mergeCell ref="B146:E146"/>
    <mergeCell ref="B147:E147"/>
    <mergeCell ref="C148:D148"/>
    <mergeCell ref="B128:E128"/>
    <mergeCell ref="B129:E129"/>
    <mergeCell ref="A133:A142"/>
    <mergeCell ref="C133:D133"/>
    <mergeCell ref="B134:E134"/>
    <mergeCell ref="B135:E135"/>
    <mergeCell ref="C136:D136"/>
    <mergeCell ref="B137:E137"/>
    <mergeCell ref="B138:E138"/>
    <mergeCell ref="C139:D139"/>
    <mergeCell ref="C130:D130"/>
    <mergeCell ref="B131:E131"/>
    <mergeCell ref="B132:E132"/>
    <mergeCell ref="C118:D118"/>
    <mergeCell ref="B119:E119"/>
    <mergeCell ref="B120:E120"/>
    <mergeCell ref="A124:A127"/>
    <mergeCell ref="C124:D124"/>
    <mergeCell ref="B125:E125"/>
    <mergeCell ref="B126:E126"/>
    <mergeCell ref="C127:D127"/>
    <mergeCell ref="C104:D104"/>
    <mergeCell ref="B105:E105"/>
    <mergeCell ref="B107:E107"/>
    <mergeCell ref="A112:A118"/>
    <mergeCell ref="C112:D112"/>
    <mergeCell ref="B113:E113"/>
    <mergeCell ref="B114:E114"/>
    <mergeCell ref="C115:D115"/>
    <mergeCell ref="B116:E116"/>
    <mergeCell ref="B117:E117"/>
    <mergeCell ref="C108:D108"/>
    <mergeCell ref="B109:E109"/>
    <mergeCell ref="B111:E111"/>
    <mergeCell ref="C121:D121"/>
    <mergeCell ref="B122:E122"/>
    <mergeCell ref="B123:E123"/>
    <mergeCell ref="B84:E84"/>
    <mergeCell ref="B85:E85"/>
    <mergeCell ref="A86:A104"/>
    <mergeCell ref="C86:D86"/>
    <mergeCell ref="B87:E87"/>
    <mergeCell ref="B88:E88"/>
    <mergeCell ref="C89:D89"/>
    <mergeCell ref="B90:E90"/>
    <mergeCell ref="B91:E91"/>
    <mergeCell ref="C98:D98"/>
    <mergeCell ref="B99:E99"/>
    <mergeCell ref="B100:E100"/>
    <mergeCell ref="C101:D101"/>
    <mergeCell ref="B102:E102"/>
    <mergeCell ref="B103:E103"/>
    <mergeCell ref="C92:D92"/>
    <mergeCell ref="B93:E93"/>
    <mergeCell ref="B94:E94"/>
    <mergeCell ref="C95:D95"/>
    <mergeCell ref="B96:E96"/>
    <mergeCell ref="B97:E97"/>
    <mergeCell ref="B78:E78"/>
    <mergeCell ref="B79:E79"/>
    <mergeCell ref="C80:D80"/>
    <mergeCell ref="B81:E81"/>
    <mergeCell ref="B82:E82"/>
    <mergeCell ref="A68:A83"/>
    <mergeCell ref="C68:D68"/>
    <mergeCell ref="B69:E69"/>
    <mergeCell ref="B70:E70"/>
    <mergeCell ref="C71:D71"/>
    <mergeCell ref="B72:E72"/>
    <mergeCell ref="B73:E73"/>
    <mergeCell ref="C74:D74"/>
    <mergeCell ref="B75:E75"/>
    <mergeCell ref="B76:E76"/>
    <mergeCell ref="C83:D83"/>
    <mergeCell ref="B66:E66"/>
    <mergeCell ref="B67:E67"/>
    <mergeCell ref="C56:D56"/>
    <mergeCell ref="B57:E57"/>
    <mergeCell ref="B58:E58"/>
    <mergeCell ref="C59:D59"/>
    <mergeCell ref="B60:E60"/>
    <mergeCell ref="B61:E61"/>
    <mergeCell ref="C77:D77"/>
    <mergeCell ref="A47:A65"/>
    <mergeCell ref="C47:D47"/>
    <mergeCell ref="B48:E48"/>
    <mergeCell ref="B49:E49"/>
    <mergeCell ref="C50:D50"/>
    <mergeCell ref="B51:E51"/>
    <mergeCell ref="B52:E52"/>
    <mergeCell ref="C53:D53"/>
    <mergeCell ref="B54:E54"/>
    <mergeCell ref="B55:E55"/>
    <mergeCell ref="C62:D62"/>
    <mergeCell ref="B63:E63"/>
    <mergeCell ref="B64:E64"/>
    <mergeCell ref="C65:D65"/>
    <mergeCell ref="C41:D41"/>
    <mergeCell ref="B42:E42"/>
    <mergeCell ref="B43:E43"/>
    <mergeCell ref="C44:D44"/>
    <mergeCell ref="B45:E45"/>
    <mergeCell ref="B46:E46"/>
    <mergeCell ref="C35:D35"/>
    <mergeCell ref="B36:E36"/>
    <mergeCell ref="B37:E37"/>
    <mergeCell ref="C38:D38"/>
    <mergeCell ref="B39:E39"/>
    <mergeCell ref="B40:E40"/>
    <mergeCell ref="B30:E30"/>
    <mergeCell ref="B31:E31"/>
    <mergeCell ref="C32:D32"/>
    <mergeCell ref="B33:E33"/>
    <mergeCell ref="B34:E34"/>
    <mergeCell ref="C23:D23"/>
    <mergeCell ref="B24:E24"/>
    <mergeCell ref="B25:E25"/>
    <mergeCell ref="C26:D26"/>
    <mergeCell ref="B27:E27"/>
    <mergeCell ref="B28:E28"/>
    <mergeCell ref="C1:D1"/>
    <mergeCell ref="A2:A44"/>
    <mergeCell ref="C2:D2"/>
    <mergeCell ref="B3:E3"/>
    <mergeCell ref="B4:E4"/>
    <mergeCell ref="C5:D5"/>
    <mergeCell ref="B6:E6"/>
    <mergeCell ref="B7:E7"/>
    <mergeCell ref="C8:D8"/>
    <mergeCell ref="B9:E9"/>
    <mergeCell ref="B10:E10"/>
    <mergeCell ref="C17:D17"/>
    <mergeCell ref="B18:E18"/>
    <mergeCell ref="B19:E19"/>
    <mergeCell ref="C20:D20"/>
    <mergeCell ref="B21:E21"/>
    <mergeCell ref="B22:E22"/>
    <mergeCell ref="C11:D11"/>
    <mergeCell ref="B12:E12"/>
    <mergeCell ref="B13:E13"/>
    <mergeCell ref="C14:D14"/>
    <mergeCell ref="B15:E15"/>
    <mergeCell ref="B16:E16"/>
    <mergeCell ref="C29:D29"/>
  </mergeCells>
  <pageMargins left="0.511811024" right="0.511811024" top="0.78740157499999996" bottom="0.78740157499999996" header="0.31496062000000002" footer="0.31496062000000002"/>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36</vt:i4>
      </vt:variant>
      <vt:variant>
        <vt:lpstr>Intervalos Nomeados</vt:lpstr>
      </vt:variant>
      <vt:variant>
        <vt:i4>57</vt:i4>
      </vt:variant>
    </vt:vector>
  </HeadingPairs>
  <TitlesOfParts>
    <vt:vector size="93" baseType="lpstr">
      <vt:lpstr>Plan. Auxiliar</vt:lpstr>
      <vt:lpstr>"03" Laborat.</vt:lpstr>
      <vt:lpstr>"04" Almoxarifados</vt:lpstr>
      <vt:lpstr>"05" Oficinas</vt:lpstr>
      <vt:lpstr>"06" Esp.Livres</vt:lpstr>
      <vt:lpstr>"08" P. Adj e Cont.</vt:lpstr>
      <vt:lpstr>"09" Varrição</vt:lpstr>
      <vt:lpstr>"10" Pat. e Áreas Verdes</vt:lpstr>
      <vt:lpstr>"14" Fachada Envidraçada</vt:lpstr>
      <vt:lpstr>MATERIAL E EQUI</vt:lpstr>
      <vt:lpstr>RESUMO</vt:lpstr>
      <vt:lpstr>M²</vt:lpstr>
      <vt:lpstr>M² 2</vt:lpstr>
      <vt:lpstr>Servente CASCAVEL</vt:lpstr>
      <vt:lpstr>Servente LONDRINA</vt:lpstr>
      <vt:lpstr>Servente MARINGÁ</vt:lpstr>
      <vt:lpstr>Servente 6h APUCARANA</vt:lpstr>
      <vt:lpstr>Servente 6h CAMPO MOURÃO</vt:lpstr>
      <vt:lpstr>Servente 6h FOZ DO IGUAÇU</vt:lpstr>
      <vt:lpstr>Servente 6h FRANCISCO BELTRÃO</vt:lpstr>
      <vt:lpstr>Servente 6h GUARAPUAVA</vt:lpstr>
      <vt:lpstr>Servente 6h PARANAVAÍ</vt:lpstr>
      <vt:lpstr>Servente 6h PATO BRANCO</vt:lpstr>
      <vt:lpstr>Servente 6h PONTA GROSSA</vt:lpstr>
      <vt:lpstr>Servente 6h RIO NEGRO</vt:lpstr>
      <vt:lpstr>Servente 6h STO ANTONIO</vt:lpstr>
      <vt:lpstr>Servente 6h TOLEDO</vt:lpstr>
      <vt:lpstr>Servente 6h UMUARAMA</vt:lpstr>
      <vt:lpstr>Jardineiro 8h-1x mês CASCAVEL</vt:lpstr>
      <vt:lpstr>UNIFORMES</vt:lpstr>
      <vt:lpstr>Jardineiro 8h LONDRINA</vt:lpstr>
      <vt:lpstr>Jardineiro 8h MARINGÁ</vt:lpstr>
      <vt:lpstr>UNIFORME SERVENTES</vt:lpstr>
      <vt:lpstr>UNIFORME JARDINEIROS</vt:lpstr>
      <vt:lpstr>EQUIPAMENTOS</vt:lpstr>
      <vt:lpstr>MATERIAIS</vt:lpstr>
      <vt:lpstr>Aparecida</vt:lpstr>
      <vt:lpstr>Araçatuba</vt:lpstr>
      <vt:lpstr>'Jardineiro 8h LONDRINA'!Area_de_impressao</vt:lpstr>
      <vt:lpstr>'Jardineiro 8h MARINGÁ'!Area_de_impressao</vt:lpstr>
      <vt:lpstr>'Jardineiro 8h-1x mês CASCAVEL'!Area_de_impressao</vt:lpstr>
      <vt:lpstr>'MATERIAL E EQUI'!Area_de_impressao</vt:lpstr>
      <vt:lpstr>RESUMO!Area_de_impressao</vt:lpstr>
      <vt:lpstr>'Servente 6h APUCARANA'!Area_de_impressao</vt:lpstr>
      <vt:lpstr>'Servente 6h CAMPO MOURÃO'!Area_de_impressao</vt:lpstr>
      <vt:lpstr>'Servente 6h FOZ DO IGUAÇU'!Area_de_impressao</vt:lpstr>
      <vt:lpstr>'Servente 6h FRANCISCO BELTRÃO'!Area_de_impressao</vt:lpstr>
      <vt:lpstr>'Servente 6h GUARAPUAVA'!Area_de_impressao</vt:lpstr>
      <vt:lpstr>'Servente 6h PARANAVAÍ'!Area_de_impressao</vt:lpstr>
      <vt:lpstr>'Servente 6h PATO BRANCO'!Area_de_impressao</vt:lpstr>
      <vt:lpstr>'Servente 6h PONTA GROSSA'!Area_de_impressao</vt:lpstr>
      <vt:lpstr>'Servente 6h RIO NEGRO'!Area_de_impressao</vt:lpstr>
      <vt:lpstr>'Servente 6h STO ANTONIO'!Area_de_impressao</vt:lpstr>
      <vt:lpstr>'Servente 6h TOLEDO'!Area_de_impressao</vt:lpstr>
      <vt:lpstr>'Servente 6h UMUARAMA'!Area_de_impressao</vt:lpstr>
      <vt:lpstr>'Servente CASCAVEL'!Area_de_impressao</vt:lpstr>
      <vt:lpstr>'Servente LONDRINA'!Area_de_impressao</vt:lpstr>
      <vt:lpstr>'Servente MARINGÁ'!Area_de_impressao</vt:lpstr>
      <vt:lpstr>Arujá</vt:lpstr>
      <vt:lpstr>Atibaia</vt:lpstr>
      <vt:lpstr>Barra_do_Turvo</vt:lpstr>
      <vt:lpstr>Bauru</vt:lpstr>
      <vt:lpstr>Caçapava</vt:lpstr>
      <vt:lpstr>Cachoeira_Paulista</vt:lpstr>
      <vt:lpstr>Cajati</vt:lpstr>
      <vt:lpstr>Campinas</vt:lpstr>
      <vt:lpstr>Del_05_Posto_Barra_do_Turvo</vt:lpstr>
      <vt:lpstr>Del_10_Marília</vt:lpstr>
      <vt:lpstr>Guaiçara</vt:lpstr>
      <vt:lpstr>Guarulhos</vt:lpstr>
      <vt:lpstr>Itapecerica_da_Serra</vt:lpstr>
      <vt:lpstr>Lavrinhas</vt:lpstr>
      <vt:lpstr>Marília</vt:lpstr>
      <vt:lpstr>Miracatu</vt:lpstr>
      <vt:lpstr>Municípios</vt:lpstr>
      <vt:lpstr>Osasco</vt:lpstr>
      <vt:lpstr>Ourinhos</vt:lpstr>
      <vt:lpstr>Piquete</vt:lpstr>
      <vt:lpstr>Piracicaba</vt:lpstr>
      <vt:lpstr>Presidente_Prudente</vt:lpstr>
      <vt:lpstr>PSF_Campinas</vt:lpstr>
      <vt:lpstr>PSU_Marília</vt:lpstr>
      <vt:lpstr>Registro</vt:lpstr>
      <vt:lpstr>Ribeirão_Preto</vt:lpstr>
      <vt:lpstr>Roseira</vt:lpstr>
      <vt:lpstr>Santos</vt:lpstr>
      <vt:lpstr>São_José_do_Rio_Preto</vt:lpstr>
      <vt:lpstr>São_José_dos_Campos</vt:lpstr>
      <vt:lpstr>São_Paulo</vt:lpstr>
      <vt:lpstr>Sorocaba</vt:lpstr>
      <vt:lpstr>Taubaté</vt:lpstr>
      <vt:lpstr>Ubatuba</vt:lpstr>
      <vt:lpstr>Vargem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55419</cp:lastModifiedBy>
  <cp:lastPrinted>2020-05-20T14:00:32Z</cp:lastPrinted>
  <dcterms:created xsi:type="dcterms:W3CDTF">2016-05-03T22:07:00Z</dcterms:created>
  <dcterms:modified xsi:type="dcterms:W3CDTF">2020-05-21T21:58:40Z</dcterms:modified>
</cp:coreProperties>
</file>